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1"/>
  </bookViews>
  <sheets>
    <sheet name="приложение № 1 2020 г. " sheetId="1" state="visible" r:id="rId2"/>
    <sheet name="приложение № 1 2024г " sheetId="2" state="visible" r:id="rId3"/>
  </sheets>
  <definedNames>
    <definedName name="_xlnm.Print_Area" localSheetId="0">'приложение № 1 2020 г. '!$A$2:$G$78</definedName>
    <definedName name="_xlnm.Print_Area" localSheetId="1">'приложение № 1 2024г '!$A$2:$G$74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tc={006700D8-00BE-4645-80CC-0048007E00CE}</author>
    <author>tc={00EB0002-00BE-42A4-9C63-0021004000D1}</author>
    <author>tc={0085005B-002A-47B5-8C04-00C2007C00C2}</author>
    <author>tc={00340064-0058-4FDD-B464-0019000C0082}</author>
    <author>tc={00EA00A2-00F0-4262-95EC-00DA00E00099}</author>
    <author>tc={000D001C-0070-45F1-B138-00FC007A00AE}</author>
    <author>tc={00F700E0-00A9-4319-BB97-003800720010}</author>
    <author>tc={0076007E-0040-46CE-A38D-008E00F30031}</author>
    <author>tc={004D008B-002E-44E7-A555-00BF003C0026}</author>
    <author>tc={00B2001F-0040-4A9F-AF58-00D4001F0028}</author>
    <author>tc={00CE0057-0097-4118-96B5-009500860015}</author>
    <author>tc={004000D5-0028-4FD4-9BC5-001300E900F0}</author>
  </authors>
  <commentList>
    <comment ref="E11" authorId="0" xr:uid="{006700D8-00BE-4645-80CC-0048007E00CE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 КР.Б (13М)весь + М.Б весь
</t>
        </r>
      </text>
    </comment>
    <comment ref="F12" authorId="1" xr:uid="{00EB0002-00BE-42A4-9C63-0021004000D1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Зарплата КР.Б (ст.211+ст.213)/численность детей
</t>
        </r>
      </text>
    </comment>
    <comment ref="G12" authorId="2" xr:uid="{0085005B-002A-47B5-8C04-00C2007C00C2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221+223+225+226+310+310+340-птание+КБ учебные
/численность
</t>
        </r>
      </text>
    </comment>
    <comment ref="E14" authorId="3" xr:uid="{00340064-0058-4FDD-B464-0019000C0082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питание 5776503,95руб + план питание Род.плата 19032227,18 руб/ 1152 детей план год=21535,36 средняя
</t>
        </r>
      </text>
    </comment>
    <comment ref="E22" authorId="4" xr:uid="{00EA00A2-00F0-4262-95EC-00DA00E00099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F24" authorId="5" xr:uid="{000D001C-0070-45F1-B138-00FC007A00AE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КР.Б ст.211+ст213
/36чел как малокомплтный ДС
СМ.
</t>
        </r>
      </text>
    </comment>
    <comment ref="G24" authorId="6" xr:uid="{00F700E0-00A9-4319-BB97-003800720010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М.Б ст.223+ст.225 + ст.340+221+310- 342питание + КР.Б все учебные расходы
СМ
</t>
        </r>
      </text>
    </comment>
    <comment ref="H24" authorId="7" xr:uid="{0076007E-0040-46CE-A38D-008E00F30031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численность как малокомплектный 36
</t>
        </r>
      </text>
    </comment>
    <comment ref="E26" authorId="8" xr:uid="{004D008B-002E-44E7-A555-00BF003C0026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30" authorId="9" xr:uid="{00B2001F-0040-4A9F-AF58-00D4001F0028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34" authorId="10" xr:uid="{00CE0057-0097-4118-96B5-009500860015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  <comment ref="E38" authorId="11" xr:uid="{004000D5-0028-4FD4-9BC5-001300E900F0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сумма плановую выделенную по М.Б 859266,00руб + план Род.плата 20 648 427,82 руб/ 1218детей план год=17 658,21 средняя
</t>
        </r>
      </text>
    </comment>
  </commentList>
</comments>
</file>

<file path=xl/sharedStrings.xml><?xml version="1.0" encoding="utf-8"?>
<sst xmlns="http://schemas.openxmlformats.org/spreadsheetml/2006/main" count="88" uniqueCount="88">
  <si>
    <t xml:space="preserve">Приложение № 1
Утверждено Постановлением администрации Дальнереченского городского округа                                                от 31 декабря 2019 г. № 1064</t>
  </si>
  <si>
    <t>РАЗМЕР</t>
  </si>
  <si>
    <t xml:space="preserve">Базового норматива затрат на оказание муниципальной услуги муниципальными бюджетными учреждениями образования                                            Дальнереченского городского округа на 2020 год</t>
  </si>
  <si>
    <t xml:space="preserve">№ п/п</t>
  </si>
  <si>
    <t>Подраздел</t>
  </si>
  <si>
    <t xml:space="preserve">Наименование муниципальных учреждений, оказывающих муниципальную услугу</t>
  </si>
  <si>
    <t xml:space="preserve">Реестровый номер по общероссийскому базовому перечню услуг и работ</t>
  </si>
  <si>
    <t xml:space="preserve">Базовый норматив затрат на оказание муниципальной услуги, руб.</t>
  </si>
  <si>
    <t xml:space="preserve">в том числе:</t>
  </si>
  <si>
    <t xml:space="preserve">Суммы затрат на оплату труда с начислениями на выплаты по оплате труда работников, непосредственно связанных с оказанием муниципальной услуги, руб.</t>
  </si>
  <si>
    <t xml:space="preserve">Суммы затрат на коммунальные услуги и содержание недвижимого имущества, необходимого для выполнения муниципального задания на оказание услуги, руб.</t>
  </si>
  <si>
    <t xml:space="preserve">очередной 2020 год</t>
  </si>
  <si>
    <t xml:space="preserve">первый год планового периода       2021 г.</t>
  </si>
  <si>
    <t xml:space="preserve">второй год планового периода 2022г.</t>
  </si>
  <si>
    <t xml:space="preserve">расчет столбца5</t>
  </si>
  <si>
    <t>1.</t>
  </si>
  <si>
    <t>0701</t>
  </si>
  <si>
    <t xml:space="preserve">МБДОУ "Детский сад № 1" </t>
  </si>
  <si>
    <t>х</t>
  </si>
  <si>
    <t xml:space="preserve">Реализация основных общеобразовательных программ дошкольного образования</t>
  </si>
  <si>
    <t>801011О.99.0.БВ24ДН82000</t>
  </si>
  <si>
    <t xml:space="preserve">Присмотр и уход </t>
  </si>
  <si>
    <t>853211О.99.0.БВ19АА56000</t>
  </si>
  <si>
    <t xml:space="preserve">Присмотр и уход</t>
  </si>
  <si>
    <t>853211О.99.0.БВ19АА14000</t>
  </si>
  <si>
    <t xml:space="preserve">МБДОУ "Детский сад № 4" </t>
  </si>
  <si>
    <t xml:space="preserve">МБДОУ "Детский сад № 5" </t>
  </si>
  <si>
    <t xml:space="preserve">МБДОУ "Детский сад № 6" </t>
  </si>
  <si>
    <t xml:space="preserve">МБДОУ "Детский сад № 7" </t>
  </si>
  <si>
    <t xml:space="preserve">МБДОУ "Детский сад № 10" </t>
  </si>
  <si>
    <t xml:space="preserve">МБДОУ "Детский сад № 12" </t>
  </si>
  <si>
    <t xml:space="preserve">РЕЗЕРВ, рублей                                                                                         (МБДОУ "Детский сад по ул. Милицейская, 38") </t>
  </si>
  <si>
    <t xml:space="preserve">ИТОГО по дошкольному образованию</t>
  </si>
  <si>
    <t>проверка</t>
  </si>
  <si>
    <t>0702</t>
  </si>
  <si>
    <t xml:space="preserve">МБОУ "Лицей"</t>
  </si>
  <si>
    <t xml:space="preserve">Реализация основных общеобразовательных программ начального общего образования</t>
  </si>
  <si>
    <t>801012О.99.0.БА81АЭ92001</t>
  </si>
  <si>
    <t xml:space="preserve">Реализация основных общеобразовательных программ основного общего образования</t>
  </si>
  <si>
    <t>802111О.99.0.БА96АЮ58001</t>
  </si>
  <si>
    <t xml:space="preserve">Реализация основных общеобразовательных программсреднего общего образования</t>
  </si>
  <si>
    <t>802112О.99.0.ББ11АЮ58001</t>
  </si>
  <si>
    <t xml:space="preserve">МБОУ "СОШ № 2"</t>
  </si>
  <si>
    <t xml:space="preserve">Реализация основных общеобразовательных программ основного общего образования (заочная)</t>
  </si>
  <si>
    <t>802111О.99.0.БА96АЮ66001</t>
  </si>
  <si>
    <t xml:space="preserve">МБОУ "СОШ № 3"</t>
  </si>
  <si>
    <t xml:space="preserve">МБОУ "СОШ № 5"</t>
  </si>
  <si>
    <t>11787000301000109006100</t>
  </si>
  <si>
    <t xml:space="preserve">Реализация основных общеобразовательных программсреднего общего образования (заочная)</t>
  </si>
  <si>
    <t>802112О.99.0.ББ11АЮ66001</t>
  </si>
  <si>
    <t xml:space="preserve">МБОУ "СОШ № 6"</t>
  </si>
  <si>
    <t xml:space="preserve">МБОУ "ООШ № 12"</t>
  </si>
  <si>
    <t xml:space="preserve">РЕЗЕРВ, рублей</t>
  </si>
  <si>
    <t xml:space="preserve">ИТОГО по общему образованию</t>
  </si>
  <si>
    <t>0703</t>
  </si>
  <si>
    <t xml:space="preserve">МБОУ ДОД «ДЮСШ»</t>
  </si>
  <si>
    <t xml:space="preserve">Реализация дополнительных общеразвивающих программ</t>
  </si>
  <si>
    <t>804200О.99.0.ББ52АИ16000</t>
  </si>
  <si>
    <t xml:space="preserve">ИТОГО по дополнительному образованию</t>
  </si>
  <si>
    <t xml:space="preserve">ВСЕГО по типу учреждений (целевой статье)</t>
  </si>
  <si>
    <t>ИТОГО</t>
  </si>
  <si>
    <t xml:space="preserve">                                                                                                  </t>
  </si>
  <si>
    <t xml:space="preserve">  Приложение № 1            </t>
  </si>
  <si>
    <t xml:space="preserve"> </t>
  </si>
  <si>
    <t xml:space="preserve">Утверждено                                                                   постановлением администрации Дальнереченского городского округа                  от 13 июня 2024 года № 741-па  </t>
  </si>
  <si>
    <t xml:space="preserve">Размер базового норматива затрат на оказание муниципальной услуги муниципальными бюджетными учреждениями образования Дальнереченского городского округа на 2024 год</t>
  </si>
  <si>
    <t xml:space="preserve">очередной 2024 год</t>
  </si>
  <si>
    <t xml:space="preserve">первый год планового периода       2025 г.</t>
  </si>
  <si>
    <t xml:space="preserve">второй год планового периода 2026г.</t>
  </si>
  <si>
    <t xml:space="preserve">МБДОУ  «Детский сад № 1» </t>
  </si>
  <si>
    <t xml:space="preserve">МБДОУ  «ЦРР-детский сад № 4» </t>
  </si>
  <si>
    <t xml:space="preserve">МБДОУ  «ЦРР-детский сад № 5» </t>
  </si>
  <si>
    <t xml:space="preserve">МБДОУ  «Детский сад № 6»  </t>
  </si>
  <si>
    <t xml:space="preserve">МБДОУ  «Детский сад № 7» </t>
  </si>
  <si>
    <t xml:space="preserve">МБДОУ  «ЦРР-детский сад № 10» </t>
  </si>
  <si>
    <t xml:space="preserve">МБДОУ  «ЦРР-детский сад № 12» </t>
  </si>
  <si>
    <t xml:space="preserve">МБОУ  «Лицей»</t>
  </si>
  <si>
    <t xml:space="preserve">Реализация основных общеобразовательных программ среднего общего образования</t>
  </si>
  <si>
    <t xml:space="preserve">МБОУ  «СОШ № 2»</t>
  </si>
  <si>
    <t xml:space="preserve">МБОУ  «СОШ № 3»</t>
  </si>
  <si>
    <t xml:space="preserve">МБОУ "СОШ № 5»</t>
  </si>
  <si>
    <t xml:space="preserve">МБОУ  «СОШ № 6»</t>
  </si>
  <si>
    <t xml:space="preserve">МБОУ   «ООШ № 12»</t>
  </si>
  <si>
    <t>1102</t>
  </si>
  <si>
    <t xml:space="preserve">МБУ  «СПАРТА»</t>
  </si>
  <si>
    <t xml:space="preserve">Спортивная подготовка по олимпийским видам спорта</t>
  </si>
  <si>
    <t>931900О.99.0.БВ27АА25001</t>
  </si>
  <si>
    <t>931900О.99.0.БВ27АВ15001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</si>
</sst>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0000"/>
    <numFmt numFmtId="165" formatCode="#,##0.0000"/>
    <numFmt numFmtId="166" formatCode="0.00000"/>
  </numFmts>
  <fonts count="42"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8.000000"/>
      <color indexed="64"/>
      <name val="Times New Roman"/>
    </font>
    <font>
      <sz val="8.000000"/>
      <name val="Arial Cy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1.000000"/>
      <color theme="10" tint="0"/>
      <name val="Calibri"/>
    </font>
    <font>
      <sz val="11.000000"/>
      <color indexed="64"/>
      <name val="Calibri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Arial Cyr"/>
    </font>
    <font>
      <u/>
      <sz val="11.000000"/>
      <color indexed="20"/>
      <name val="Calibri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1.000000"/>
      <color indexed="64"/>
      <name val="Times New Roman"/>
    </font>
    <font>
      <sz val="12.000000"/>
      <color indexed="64"/>
      <name val="Times New Roman"/>
    </font>
    <font>
      <sz val="14.000000"/>
      <color indexed="64"/>
      <name val="Times New Roman"/>
    </font>
    <font>
      <b/>
      <sz val="14.000000"/>
      <color indexed="64"/>
      <name val="Times New Roman"/>
    </font>
    <font>
      <sz val="10.000000"/>
      <color indexed="64"/>
      <name val="Times New Roman"/>
    </font>
    <font>
      <b/>
      <sz val="12.000000"/>
      <color indexed="64"/>
      <name val="Times New Roman"/>
    </font>
    <font>
      <b/>
      <sz val="12.000000"/>
      <color theme="0" tint="0"/>
      <name val="Times New Roman"/>
    </font>
    <font>
      <sz val="12.000000"/>
      <name val="Times New Roman"/>
    </font>
    <font>
      <sz val="10.000000"/>
      <name val="Times New Roman"/>
    </font>
    <font>
      <sz val="12.000000"/>
      <color theme="0" tint="0"/>
      <name val="Times New Roman"/>
    </font>
    <font>
      <b/>
      <sz val="14.000000"/>
      <color theme="0" tint="0"/>
      <name val="Times New Roman"/>
    </font>
    <font>
      <sz val="12.000000"/>
      <color indexed="2"/>
      <name val="Times New Roman"/>
    </font>
    <font>
      <b/>
      <sz val="12.000000"/>
      <name val="Times New Roman"/>
    </font>
    <font>
      <sz val="11.000000"/>
      <name val="Times New Roman"/>
    </font>
    <font>
      <b/>
      <sz val="12.000000"/>
      <color indexed="2"/>
      <name val="Times New Roman"/>
    </font>
    <font>
      <b/>
      <sz val="14.000000"/>
      <name val="Times New Roman"/>
    </font>
    <font>
      <sz val="20.000000"/>
      <color indexed="64"/>
      <name val="Times New Roman"/>
    </font>
    <font>
      <sz val="14.000000"/>
      <name val="Times New Roman"/>
    </font>
    <font>
      <sz val="14.000000"/>
      <color theme="0" tint="0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rgb="FFFFFFDD"/>
        <bgColor rgb="FFFFFFDD"/>
      </patternFill>
    </fill>
  </fills>
  <borders count="38">
    <border>
      <left style="none"/>
      <right style="none"/>
      <top style="none"/>
      <bottom style="none"/>
      <diagonal style="none"/>
    </border>
    <border>
      <left style="medium">
        <color indexed="64"/>
      </left>
      <right style="thin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none"/>
      <bottom style="none"/>
      <diagonal style="none"/>
    </border>
    <border>
      <left style="thin">
        <color indexed="64"/>
      </left>
      <right style="thin">
        <color indexed="64"/>
      </right>
      <top style="none"/>
      <bottom style="thin">
        <color indexed="64"/>
      </bottom>
      <diagonal style="none"/>
    </border>
    <border>
      <left style="thin">
        <color indexed="64"/>
      </left>
      <right style="none"/>
      <top style="none"/>
      <bottom style="thin">
        <color indexed="64"/>
      </bottom>
      <diagonal style="none"/>
    </border>
    <border>
      <left style="none"/>
      <right style="thin">
        <color indexed="64"/>
      </right>
      <top style="none"/>
      <bottom style="thin">
        <color indexed="64"/>
      </bottom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thin">
        <color indexed="64"/>
      </left>
      <right style="medium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none"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65">
    <xf fontId="0" fillId="0" borderId="0" numFmtId="0" applyNumberFormat="1" applyFont="1" applyFill="1" applyBorder="1"/>
    <xf fontId="0" fillId="2" borderId="0" numFmtId="0" applyNumberFormat="1" applyFont="1" applyFill="1" applyBorder="1"/>
    <xf fontId="0" fillId="3" borderId="0" numFmtId="0" applyNumberFormat="1" applyFont="1" applyFill="1" applyBorder="1"/>
    <xf fontId="0" fillId="4" borderId="0" numFmtId="0" applyNumberFormat="1" applyFont="1" applyFill="1" applyBorder="1"/>
    <xf fontId="0" fillId="5" borderId="0" numFmtId="0" applyNumberFormat="1" applyFont="1" applyFill="1" applyBorder="1"/>
    <xf fontId="0" fillId="6" borderId="0" numFmtId="0" applyNumberFormat="1" applyFont="1" applyFill="1" applyBorder="1"/>
    <xf fontId="0" fillId="7" borderId="0" numFmtId="0" applyNumberFormat="1" applyFont="1" applyFill="1" applyBorder="1"/>
    <xf fontId="0" fillId="8" borderId="0" numFmtId="0" applyNumberFormat="1" applyFont="1" applyFill="1" applyBorder="1"/>
    <xf fontId="0" fillId="9" borderId="0" numFmtId="0" applyNumberFormat="1" applyFont="1" applyFill="1" applyBorder="1"/>
    <xf fontId="0" fillId="10" borderId="0" numFmtId="0" applyNumberFormat="1" applyFont="1" applyFill="1" applyBorder="1"/>
    <xf fontId="0" fillId="11" borderId="0" numFmtId="0" applyNumberFormat="1" applyFont="1" applyFill="1" applyBorder="1"/>
    <xf fontId="0" fillId="12" borderId="0" numFmtId="0" applyNumberFormat="1" applyFont="1" applyFill="1" applyBorder="1"/>
    <xf fontId="0" fillId="13" borderId="0" numFmtId="0" applyNumberFormat="1" applyFont="1" applyFill="1" applyBorder="1"/>
    <xf fontId="1" fillId="14" borderId="0" numFmtId="0" applyNumberFormat="1" applyFont="1" applyFill="1" applyBorder="1"/>
    <xf fontId="1" fillId="15" borderId="0" numFmtId="0" applyNumberFormat="1" applyFont="1" applyFill="1" applyBorder="1"/>
    <xf fontId="1" fillId="10" borderId="0" numFmtId="0" applyNumberFormat="1" applyFont="1" applyFill="1" applyBorder="1"/>
    <xf fontId="1" fillId="16" borderId="0" numFmtId="0" applyNumberFormat="1" applyFont="1" applyFill="1" applyBorder="1"/>
    <xf fontId="1" fillId="17" borderId="0" numFmtId="0" applyNumberFormat="1" applyFont="1" applyFill="1" applyBorder="1"/>
    <xf fontId="1" fillId="18" borderId="0" numFmtId="0" applyNumberFormat="1" applyFont="1" applyFill="1" applyBorder="1"/>
    <xf fontId="2" fillId="19" borderId="1" numFmtId="49" applyNumberFormat="1" applyFont="1" applyFill="1" applyBorder="1">
      <alignment horizontal="center" vertical="center" wrapText="1"/>
    </xf>
    <xf fontId="2" fillId="19" borderId="2" numFmtId="49" applyNumberFormat="1" applyFont="1" applyFill="1" applyBorder="1">
      <alignment horizontal="center"/>
    </xf>
    <xf fontId="2" fillId="19" borderId="3" numFmtId="49" applyNumberFormat="1" applyFont="1" applyFill="1" applyBorder="1">
      <alignment horizontal="center"/>
    </xf>
    <xf fontId="2" fillId="19" borderId="4" numFmtId="49" applyNumberFormat="1" applyFont="1" applyFill="1" applyBorder="1">
      <alignment horizontal="center"/>
    </xf>
    <xf fontId="2" fillId="0" borderId="2" numFmtId="49" applyNumberFormat="1" applyFont="1" applyFill="1" applyBorder="1">
      <alignment horizontal="center"/>
    </xf>
    <xf fontId="2" fillId="0" borderId="3" numFmtId="49" applyNumberFormat="1" applyFont="1" applyFill="1" applyBorder="1">
      <alignment horizontal="center"/>
    </xf>
    <xf fontId="2" fillId="0" borderId="4" numFmtId="49" applyNumberFormat="1" applyFont="1" applyFill="1" applyBorder="1">
      <alignment horizontal="center"/>
    </xf>
    <xf fontId="2" fillId="0" borderId="5" numFmtId="49" applyNumberFormat="1" applyFont="1" applyFill="1" applyBorder="1">
      <alignment horizontal="center"/>
    </xf>
    <xf fontId="2" fillId="0" borderId="6" numFmtId="49" applyNumberFormat="1" applyFont="1" applyFill="1" applyBorder="1">
      <alignment horizontal="center"/>
    </xf>
    <xf fontId="2" fillId="0" borderId="7" numFmtId="0" applyNumberFormat="1" applyFont="1" applyFill="1" applyBorder="1">
      <alignment horizontal="center" vertical="center"/>
    </xf>
    <xf fontId="2" fillId="0" borderId="8" numFmtId="0" applyNumberFormat="1" applyFont="1" applyFill="1" applyBorder="1">
      <alignment horizontal="left" vertical="top" wrapText="1"/>
    </xf>
    <xf fontId="2" fillId="19" borderId="9" numFmtId="49" applyNumberFormat="1" applyFont="1" applyFill="1" applyBorder="1">
      <alignment horizontal="center" vertical="center"/>
    </xf>
    <xf fontId="3" fillId="0" borderId="10" numFmtId="0" applyNumberFormat="1" applyFont="1" applyFill="1" applyBorder="1">
      <alignment horizontal="left" vertical="center" wrapText="1"/>
    </xf>
    <xf fontId="2" fillId="0" borderId="9" numFmtId="0" applyNumberFormat="1" applyFont="1" applyFill="1" applyBorder="1">
      <alignment horizontal="center" vertical="center"/>
    </xf>
    <xf fontId="1" fillId="20" borderId="0" numFmtId="0" applyNumberFormat="1" applyFont="1" applyFill="1" applyBorder="1"/>
    <xf fontId="1" fillId="21" borderId="0" numFmtId="0" applyNumberFormat="1" applyFont="1" applyFill="1" applyBorder="1"/>
    <xf fontId="1" fillId="22" borderId="0" numFmtId="0" applyNumberFormat="1" applyFont="1" applyFill="1" applyBorder="1"/>
    <xf fontId="1" fillId="23" borderId="0" numFmtId="0" applyNumberFormat="1" applyFont="1" applyFill="1" applyBorder="1"/>
    <xf fontId="1" fillId="24" borderId="0" numFmtId="0" applyNumberFormat="1" applyFont="1" applyFill="1" applyBorder="1"/>
    <xf fontId="1" fillId="25" borderId="0" numFmtId="0" applyNumberFormat="1" applyFont="1" applyFill="1" applyBorder="1"/>
    <xf fontId="4" fillId="26" borderId="11" numFmtId="0" applyNumberFormat="1" applyFont="1" applyFill="1" applyBorder="1"/>
    <xf fontId="5" fillId="27" borderId="12" numFmtId="0" applyNumberFormat="1" applyFont="1" applyFill="1" applyBorder="1"/>
    <xf fontId="6" fillId="27" borderId="11" numFmtId="0" applyNumberFormat="1" applyFont="1" applyFill="1" applyBorder="1"/>
    <xf fontId="7" fillId="0" borderId="0" numFmtId="0" applyNumberFormat="1" applyFont="1" applyFill="1" applyBorder="1">
      <alignment vertical="top"/>
    </xf>
    <xf fontId="8" fillId="0" borderId="0" numFmtId="160" applyNumberFormat="1" applyFont="1" applyFill="1" applyBorder="1"/>
    <xf fontId="8" fillId="0" borderId="0" numFmtId="161" applyNumberFormat="1" applyFont="1" applyFill="1" applyBorder="1"/>
    <xf fontId="9" fillId="0" borderId="13" numFmtId="0" applyNumberFormat="1" applyFont="1" applyFill="1" applyBorder="1"/>
    <xf fontId="10" fillId="0" borderId="14" numFmtId="0" applyNumberFormat="1" applyFont="1" applyFill="1" applyBorder="1"/>
    <xf fontId="11" fillId="0" borderId="15" numFmtId="0" applyNumberFormat="1" applyFont="1" applyFill="1" applyBorder="1"/>
    <xf fontId="11" fillId="0" borderId="0" numFmtId="0" applyNumberFormat="1" applyFont="1" applyFill="1" applyBorder="1"/>
    <xf fontId="12" fillId="0" borderId="16" numFmtId="0" applyNumberFormat="1" applyFont="1" applyFill="1" applyBorder="1"/>
    <xf fontId="13" fillId="28" borderId="17" numFmtId="0" applyNumberFormat="1" applyFont="1" applyFill="1" applyBorder="1"/>
    <xf fontId="14" fillId="0" borderId="0" numFmtId="0" applyNumberFormat="1" applyFont="1" applyFill="1" applyBorder="1"/>
    <xf fontId="15" fillId="29" borderId="0" numFmtId="0" applyNumberFormat="1" applyFont="1" applyFill="1" applyBorder="1"/>
    <xf fontId="16" fillId="0" borderId="0" numFmtId="0" applyNumberFormat="1" applyFont="1" applyFill="1" applyBorder="1"/>
    <xf fontId="16" fillId="0" borderId="0" numFmtId="0" applyNumberFormat="1" applyFont="1" applyFill="1" applyBorder="1"/>
    <xf fontId="17" fillId="0" borderId="0" numFmtId="0" applyNumberFormat="1" applyFont="1" applyFill="1" applyBorder="1">
      <alignment vertical="top"/>
    </xf>
    <xf fontId="18" fillId="30" borderId="0" numFmtId="0" applyNumberFormat="1" applyFont="1" applyFill="1" applyBorder="1"/>
    <xf fontId="19" fillId="0" borderId="0" numFmtId="0" applyNumberFormat="1" applyFont="1" applyFill="1" applyBorder="1"/>
    <xf fontId="8" fillId="31" borderId="18" numFmtId="0" applyNumberFormat="1" applyFont="1" applyFill="1" applyBorder="1"/>
    <xf fontId="8" fillId="0" borderId="0" numFmtId="9" applyNumberFormat="1" applyFont="1" applyFill="1" applyBorder="1"/>
    <xf fontId="20" fillId="0" borderId="19" numFmtId="0" applyNumberFormat="1" applyFont="1" applyFill="1" applyBorder="1"/>
    <xf fontId="21" fillId="0" borderId="0" numFmtId="0" applyNumberFormat="1" applyFont="1" applyFill="1" applyBorder="1"/>
    <xf fontId="8" fillId="0" borderId="0" numFmtId="162" applyNumberFormat="1" applyFont="1" applyFill="1" applyBorder="1"/>
    <xf fontId="8" fillId="0" borderId="0" numFmtId="163" applyNumberFormat="1" applyFont="1" applyFill="1" applyBorder="1"/>
    <xf fontId="22" fillId="32" borderId="0" numFmtId="0" applyNumberFormat="1" applyFont="1" applyFill="1" applyBorder="1"/>
  </cellStyleXfs>
  <cellXfs count="128">
    <xf fontId="0" fillId="0" borderId="0" numFmtId="0" xfId="0"/>
    <xf fontId="23" fillId="0" borderId="0" numFmtId="0" xfId="0" applyFont="1" applyAlignment="1">
      <alignment vertical="top" wrapText="1"/>
    </xf>
    <xf fontId="24" fillId="0" borderId="0" numFmtId="0" xfId="0" applyFont="1" applyAlignment="1">
      <alignment vertical="top" wrapText="1"/>
    </xf>
    <xf fontId="24" fillId="0" borderId="0" numFmtId="0" xfId="0" applyFont="1" applyAlignment="1">
      <alignment horizontal="right" vertical="top" wrapText="1"/>
    </xf>
    <xf fontId="0" fillId="0" borderId="0" numFmtId="0" xfId="0" applyAlignment="1">
      <alignment vertical="top" wrapText="1"/>
    </xf>
    <xf fontId="25" fillId="0" borderId="0" numFmtId="0" xfId="0" applyFont="1" applyAlignment="1">
      <alignment vertical="top" wrapText="1"/>
    </xf>
    <xf fontId="26" fillId="0" borderId="0" numFmtId="0" xfId="0" applyFont="1" applyAlignment="1">
      <alignment horizontal="center"/>
    </xf>
    <xf fontId="25" fillId="0" borderId="0" numFmtId="0" xfId="0" applyFont="1" applyAlignment="1">
      <alignment horizontal="center" vertical="top" wrapText="1"/>
    </xf>
    <xf fontId="25" fillId="0" borderId="0" numFmtId="0" xfId="0" applyFont="1" applyAlignment="1">
      <alignment horizontal="justify"/>
    </xf>
    <xf fontId="25" fillId="0" borderId="0" numFmtId="0" xfId="0" applyFont="1"/>
    <xf fontId="23" fillId="0" borderId="0" numFmtId="0" xfId="0" applyFont="1"/>
    <xf fontId="24" fillId="0" borderId="20" numFmtId="0" xfId="0" applyFont="1" applyBorder="1" applyAlignment="1">
      <alignment vertical="top" wrapText="1"/>
    </xf>
    <xf fontId="24" fillId="0" borderId="20" numFmtId="0" xfId="0" applyFont="1" applyBorder="1" applyAlignment="1">
      <alignment horizontal="center" vertical="top" wrapText="1"/>
    </xf>
    <xf fontId="23" fillId="0" borderId="20" numFmtId="0" xfId="0" applyFont="1" applyBorder="1" applyAlignment="1">
      <alignment horizontal="center" vertical="top" wrapText="1"/>
    </xf>
    <xf fontId="24" fillId="0" borderId="21" numFmtId="0" xfId="0" applyFont="1" applyBorder="1" applyAlignment="1">
      <alignment vertical="top" wrapText="1"/>
    </xf>
    <xf fontId="24" fillId="0" borderId="22" numFmtId="0" xfId="0" applyFont="1" applyBorder="1" applyAlignment="1">
      <alignment vertical="top" wrapText="1"/>
    </xf>
    <xf fontId="24" fillId="0" borderId="23" numFmtId="0" xfId="0" applyFont="1" applyBorder="1" applyAlignment="1">
      <alignment vertical="top" wrapText="1"/>
    </xf>
    <xf fontId="27" fillId="0" borderId="23" numFmtId="0" xfId="0" applyFont="1" applyBorder="1" applyAlignment="1">
      <alignment vertical="top" wrapText="1"/>
    </xf>
    <xf fontId="24" fillId="0" borderId="0" numFmtId="0" xfId="0" applyFont="1" applyAlignment="1">
      <alignment horizontal="center" vertical="top" wrapText="1"/>
    </xf>
    <xf fontId="27" fillId="0" borderId="20" numFmtId="0" xfId="0" applyFont="1" applyBorder="1" applyAlignment="1">
      <alignment horizontal="center" vertical="top" wrapText="1"/>
    </xf>
    <xf fontId="27" fillId="0" borderId="23" numFmtId="0" xfId="0" applyFont="1" applyBorder="1" applyAlignment="1">
      <alignment horizontal="center" vertical="top" wrapText="1"/>
    </xf>
    <xf fontId="24" fillId="0" borderId="20" numFmtId="0" xfId="0" applyFont="1" applyBorder="1" applyAlignment="1">
      <alignment horizontal="center" vertical="top"/>
    </xf>
    <xf fontId="28" fillId="0" borderId="20" numFmtId="0" xfId="0" applyFont="1" applyBorder="1" applyAlignment="1">
      <alignment vertical="top" wrapText="1"/>
    </xf>
    <xf fontId="29" fillId="0" borderId="20" numFmtId="4" xfId="0" applyNumberFormat="1" applyFont="1" applyBorder="1" applyAlignment="1">
      <alignment horizontal="center" vertical="top" wrapText="1"/>
    </xf>
    <xf fontId="24" fillId="0" borderId="24" numFmtId="0" xfId="0" applyFont="1" applyBorder="1" applyAlignment="1">
      <alignment horizontal="center" vertical="center" wrapText="1"/>
    </xf>
    <xf fontId="24" fillId="0" borderId="0" numFmtId="4" xfId="0" applyNumberFormat="1" applyFont="1" applyAlignment="1">
      <alignment horizontal="center" vertical="top" wrapText="1"/>
    </xf>
    <xf fontId="30" fillId="0" borderId="0" numFmtId="0" xfId="0" applyFont="1" applyAlignment="1">
      <alignment horizontal="center" vertical="top" wrapText="1"/>
    </xf>
    <xf fontId="30" fillId="0" borderId="20" numFmtId="0" xfId="0" applyFont="1" applyBorder="1" applyAlignment="1">
      <alignment horizontal="center" vertical="top" wrapText="1"/>
    </xf>
    <xf fontId="30" fillId="0" borderId="20" numFmtId="0" xfId="43" applyFont="1" applyBorder="1" applyAlignment="1" applyProtection="1">
      <alignment vertical="top" wrapText="1"/>
    </xf>
    <xf fontId="31" fillId="0" borderId="20" numFmtId="1" xfId="0" applyNumberFormat="1" applyFont="1" applyBorder="1" applyAlignment="1">
      <alignment horizontal="center" vertical="top" wrapText="1"/>
    </xf>
    <xf fontId="30" fillId="0" borderId="20" numFmtId="164" xfId="43" applyNumberFormat="1" applyFont="1" applyBorder="1" applyAlignment="1" applyProtection="1">
      <alignment horizontal="center" vertical="center" wrapText="1"/>
    </xf>
    <xf fontId="30" fillId="0" borderId="20" numFmtId="4" xfId="0" applyNumberFormat="1" applyFont="1" applyBorder="1" applyAlignment="1">
      <alignment horizontal="center" vertical="center" wrapText="1"/>
    </xf>
    <xf fontId="30" fillId="0" borderId="20" numFmtId="165" xfId="0" applyNumberFormat="1" applyFont="1" applyBorder="1" applyAlignment="1">
      <alignment horizontal="center" vertical="center" wrapText="1"/>
    </xf>
    <xf fontId="30" fillId="0" borderId="25" numFmtId="0" xfId="0" applyFont="1" applyBorder="1" applyAlignment="1">
      <alignment horizontal="center" vertical="center" wrapText="1"/>
    </xf>
    <xf fontId="30" fillId="0" borderId="0" numFmtId="164" xfId="0" applyNumberFormat="1" applyFont="1" applyAlignment="1">
      <alignment horizontal="center" vertical="top" wrapText="1"/>
    </xf>
    <xf fontId="31" fillId="0" borderId="20" numFmtId="0" xfId="0" applyFont="1" applyBorder="1" applyAlignment="1">
      <alignment horizontal="center" vertical="top" wrapText="1"/>
    </xf>
    <xf fontId="30" fillId="0" borderId="20" numFmtId="4" xfId="43" applyNumberFormat="1" applyFont="1" applyBorder="1" applyAlignment="1" applyProtection="1">
      <alignment horizontal="center" vertical="center" wrapText="1"/>
    </xf>
    <xf fontId="30" fillId="0" borderId="20" numFmtId="2" xfId="0" applyNumberFormat="1" applyFont="1" applyBorder="1" applyAlignment="1">
      <alignment horizontal="center" vertical="center" wrapText="1"/>
    </xf>
    <xf fontId="30" fillId="0" borderId="20" numFmtId="49" xfId="0" applyNumberFormat="1" applyFont="1" applyBorder="1" applyAlignment="1">
      <alignment horizontal="center" vertical="top" wrapText="1"/>
    </xf>
    <xf fontId="30" fillId="0" borderId="20" numFmtId="0" xfId="0" applyFont="1" applyBorder="1" applyAlignment="1">
      <alignment horizontal="center" vertical="center" wrapText="1"/>
    </xf>
    <xf fontId="30" fillId="0" borderId="0" numFmtId="4" xfId="0" applyNumberFormat="1" applyFont="1" applyAlignment="1">
      <alignment horizontal="center" vertical="top" wrapText="1"/>
    </xf>
    <xf fontId="30" fillId="0" borderId="25" numFmtId="0" xfId="0" applyFont="1" applyBorder="1" applyAlignment="1">
      <alignment vertical="center" wrapText="1"/>
    </xf>
    <xf fontId="30" fillId="0" borderId="0" numFmtId="166" xfId="0" applyNumberFormat="1" applyFont="1" applyAlignment="1">
      <alignment horizontal="center" vertical="center" wrapText="1"/>
    </xf>
    <xf fontId="30" fillId="0" borderId="20" numFmtId="164" xfId="0" applyNumberFormat="1" applyFont="1" applyBorder="1" applyAlignment="1">
      <alignment horizontal="center" vertical="center" wrapText="1"/>
    </xf>
    <xf fontId="30" fillId="0" borderId="0" numFmtId="0" xfId="0" applyFont="1" applyAlignment="1">
      <alignment horizontal="center" vertical="center" wrapText="1"/>
    </xf>
    <xf fontId="30" fillId="0" borderId="20" numFmtId="2" xfId="43" applyNumberFormat="1" applyFont="1" applyBorder="1" applyAlignment="1" applyProtection="1">
      <alignment horizontal="center" vertical="center" wrapText="1"/>
    </xf>
    <xf fontId="29" fillId="0" borderId="20" numFmtId="4" xfId="0" applyNumberFormat="1" applyFont="1" applyBorder="1" applyAlignment="1">
      <alignment horizontal="center" vertical="center" wrapText="1"/>
    </xf>
    <xf fontId="30" fillId="0" borderId="26" numFmtId="0" xfId="0" applyFont="1" applyBorder="1" applyAlignment="1">
      <alignment vertical="center" wrapText="1"/>
    </xf>
    <xf fontId="30" fillId="0" borderId="27" numFmtId="0" xfId="0" applyFont="1" applyBorder="1" applyAlignment="1">
      <alignment vertical="center" wrapText="1"/>
    </xf>
    <xf fontId="28" fillId="0" borderId="28" numFmtId="0" xfId="0" applyFont="1" applyBorder="1" applyAlignment="1">
      <alignment horizontal="left" vertical="center" wrapText="1"/>
    </xf>
    <xf fontId="28" fillId="0" borderId="22" numFmtId="0" xfId="0" applyFont="1" applyBorder="1" applyAlignment="1">
      <alignment horizontal="left" vertical="center" wrapText="1"/>
    </xf>
    <xf fontId="30" fillId="0" borderId="29" numFmtId="0" xfId="0" applyFont="1" applyBorder="1" applyAlignment="1">
      <alignment vertical="center" wrapText="1"/>
    </xf>
    <xf fontId="32" fillId="0" borderId="20" numFmtId="0" xfId="0" applyFont="1" applyBorder="1" applyAlignment="1">
      <alignment horizontal="center" vertical="top" wrapText="1"/>
    </xf>
    <xf fontId="32" fillId="0" borderId="20" numFmtId="49" xfId="0" applyNumberFormat="1" applyFont="1" applyBorder="1" applyAlignment="1">
      <alignment horizontal="center" vertical="top" wrapText="1"/>
    </xf>
    <xf fontId="29" fillId="0" borderId="20" numFmtId="49" xfId="0" applyNumberFormat="1" applyFont="1" applyBorder="1" applyAlignment="1">
      <alignment horizontal="left" vertical="top" wrapText="1"/>
    </xf>
    <xf fontId="33" fillId="0" borderId="20" numFmtId="4" xfId="0" applyNumberFormat="1" applyFont="1" applyBorder="1" applyAlignment="1">
      <alignment horizontal="center" vertical="center" wrapText="1"/>
    </xf>
    <xf fontId="32" fillId="0" borderId="20" numFmtId="4" xfId="0" applyNumberFormat="1" applyFont="1" applyBorder="1" applyAlignment="1">
      <alignment vertical="top" wrapText="1"/>
    </xf>
    <xf fontId="32" fillId="0" borderId="24" numFmtId="0" xfId="0" applyFont="1" applyBorder="1" applyAlignment="1">
      <alignment vertical="center" wrapText="1"/>
    </xf>
    <xf fontId="34" fillId="0" borderId="0" numFmtId="4" xfId="0" applyNumberFormat="1" applyFont="1" applyAlignment="1">
      <alignment horizontal="center" vertical="top" wrapText="1"/>
    </xf>
    <xf fontId="34" fillId="0" borderId="0" numFmtId="0" xfId="0" applyFont="1" applyAlignment="1">
      <alignment horizontal="left" vertical="top" wrapText="1"/>
    </xf>
    <xf fontId="35" fillId="0" borderId="20" numFmtId="0" xfId="0" applyFont="1" applyBorder="1" applyAlignment="1">
      <alignment vertical="top" wrapText="1"/>
    </xf>
    <xf fontId="36" fillId="0" borderId="20" numFmtId="0" xfId="43" applyFont="1" applyBorder="1" applyAlignment="1" applyProtection="1">
      <alignment vertical="top" wrapText="1"/>
    </xf>
    <xf fontId="36" fillId="0" borderId="20" numFmtId="164" xfId="43" applyNumberFormat="1" applyFont="1" applyBorder="1" applyAlignment="1" applyProtection="1">
      <alignment horizontal="center" vertical="center" wrapText="1"/>
    </xf>
    <xf fontId="36" fillId="0" borderId="20" numFmtId="166" xfId="43" applyNumberFormat="1" applyFont="1" applyBorder="1" applyAlignment="1" applyProtection="1">
      <alignment horizontal="center" vertical="center" wrapText="1"/>
    </xf>
    <xf fontId="30" fillId="0" borderId="30" numFmtId="0" xfId="0" applyFont="1" applyBorder="1" applyAlignment="1">
      <alignment vertical="center" wrapText="1"/>
    </xf>
    <xf fontId="35" fillId="0" borderId="28" numFmtId="49" xfId="0" applyNumberFormat="1" applyFont="1" applyBorder="1" applyAlignment="1">
      <alignment horizontal="center" vertical="top" wrapText="1"/>
    </xf>
    <xf fontId="35" fillId="0" borderId="22" numFmtId="49" xfId="0" applyNumberFormat="1" applyFont="1" applyBorder="1" applyAlignment="1">
      <alignment horizontal="center" vertical="top" wrapText="1"/>
    </xf>
    <xf fontId="33" fillId="0" borderId="20" numFmtId="0" xfId="0" applyFont="1" applyBorder="1" applyAlignment="1">
      <alignment horizontal="left" vertical="center" wrapText="1"/>
    </xf>
    <xf fontId="30" fillId="0" borderId="24" numFmtId="0" xfId="0" applyFont="1" applyBorder="1" applyAlignment="1">
      <alignment vertical="center" wrapText="1"/>
    </xf>
    <xf fontId="37" fillId="0" borderId="0" numFmtId="4" xfId="0" applyNumberFormat="1" applyFont="1" applyAlignment="1">
      <alignment horizontal="center" vertical="top" wrapText="1"/>
    </xf>
    <xf fontId="37" fillId="0" borderId="0" numFmtId="0" xfId="0" applyFont="1" applyAlignment="1">
      <alignment horizontal="left" vertical="top" wrapText="1"/>
    </xf>
    <xf fontId="38" fillId="0" borderId="20" numFmtId="0" xfId="0" applyFont="1" applyBorder="1" applyAlignment="1">
      <alignment horizontal="center" vertical="center" wrapText="1"/>
    </xf>
    <xf fontId="38" fillId="0" borderId="20" numFmtId="4" xfId="0" applyNumberFormat="1" applyFont="1" applyBorder="1" applyAlignment="1">
      <alignment horizontal="center" vertical="center" wrapText="1"/>
    </xf>
    <xf fontId="35" fillId="0" borderId="20" numFmtId="0" xfId="0" applyFont="1" applyBorder="1" applyAlignment="1">
      <alignment horizontal="center" vertical="center" wrapText="1"/>
    </xf>
    <xf fontId="30" fillId="0" borderId="31" numFmtId="0" xfId="0" applyFont="1" applyBorder="1" applyAlignment="1">
      <alignment horizontal="center" vertical="top" wrapText="1"/>
    </xf>
    <xf fontId="30" fillId="0" borderId="32" numFmtId="49" xfId="0" applyNumberFormat="1" applyFont="1" applyBorder="1" applyAlignment="1">
      <alignment horizontal="center" vertical="top" wrapText="1"/>
    </xf>
    <xf fontId="38" fillId="0" borderId="33" numFmtId="0" xfId="0" applyFont="1" applyBorder="1" applyAlignment="1">
      <alignment horizontal="left" vertical="top" wrapText="1"/>
    </xf>
    <xf fontId="38" fillId="0" borderId="34" numFmtId="0" xfId="0" applyFont="1" applyBorder="1" applyAlignment="1">
      <alignment horizontal="left" vertical="top" wrapText="1"/>
    </xf>
    <xf fontId="38" fillId="0" borderId="25" numFmtId="0" xfId="0" applyFont="1" applyBorder="1" applyAlignment="1">
      <alignment vertical="top" wrapText="1"/>
    </xf>
    <xf fontId="30" fillId="0" borderId="0" numFmtId="4" xfId="0" applyNumberFormat="1" applyFont="1" applyAlignment="1">
      <alignment vertical="top" wrapText="1"/>
    </xf>
    <xf fontId="30" fillId="0" borderId="0" numFmtId="0" xfId="0" applyFont="1" applyAlignment="1">
      <alignment vertical="center" wrapText="1"/>
    </xf>
    <xf fontId="24" fillId="0" borderId="35" numFmtId="0" xfId="0" applyFont="1" applyBorder="1" applyAlignment="1">
      <alignment horizontal="left" vertical="top" wrapText="1"/>
    </xf>
    <xf fontId="24" fillId="0" borderId="36" numFmtId="0" xfId="0" applyFont="1" applyBorder="1" applyAlignment="1">
      <alignment horizontal="left" vertical="top" wrapText="1"/>
    </xf>
    <xf fontId="24" fillId="0" borderId="37" numFmtId="0" xfId="0" applyFont="1" applyBorder="1" applyAlignment="1">
      <alignment horizontal="left" vertical="top" wrapText="1"/>
    </xf>
    <xf fontId="24" fillId="0" borderId="28" numFmtId="0" xfId="0" applyFont="1" applyBorder="1" applyAlignment="1">
      <alignment horizontal="left" vertical="top" wrapText="1"/>
    </xf>
    <xf fontId="24" fillId="0" borderId="21" numFmtId="0" xfId="0" applyFont="1" applyBorder="1" applyAlignment="1">
      <alignment horizontal="left" vertical="top" wrapText="1"/>
    </xf>
    <xf fontId="24" fillId="0" borderId="22" numFmtId="0" xfId="0" applyFont="1" applyBorder="1" applyAlignment="1">
      <alignment horizontal="left" vertical="top" wrapText="1"/>
    </xf>
    <xf fontId="25" fillId="0" borderId="0" numFmtId="0" xfId="0" applyFont="1" applyAlignment="1">
      <alignment horizontal="left" vertical="top" wrapText="1"/>
    </xf>
    <xf fontId="39" fillId="0" borderId="0" numFmtId="0" xfId="0" applyFont="1" applyAlignment="1">
      <alignment horizontal="center" vertical="top" wrapText="1"/>
    </xf>
    <xf fontId="25" fillId="0" borderId="20" numFmtId="0" xfId="0" applyFont="1" applyBorder="1" applyAlignment="1">
      <alignment vertical="center" wrapText="1"/>
    </xf>
    <xf fontId="25" fillId="0" borderId="20" numFmtId="0" xfId="0" applyFont="1" applyBorder="1" applyAlignment="1">
      <alignment horizontal="center" vertical="center" wrapText="1"/>
    </xf>
    <xf fontId="25" fillId="0" borderId="20" numFmtId="0" xfId="0" applyFont="1" applyBorder="1" applyAlignment="1">
      <alignment horizontal="center" vertical="top" wrapText="1"/>
    </xf>
    <xf fontId="25" fillId="0" borderId="20" numFmtId="0" xfId="0" applyFont="1" applyBorder="1" applyAlignment="1">
      <alignment vertical="top" wrapText="1"/>
    </xf>
    <xf fontId="25" fillId="0" borderId="20" numFmtId="0" xfId="0" applyFont="1" applyBorder="1" applyAlignment="1">
      <alignment horizontal="center" vertical="top"/>
    </xf>
    <xf fontId="26" fillId="0" borderId="20" numFmtId="0" xfId="0" applyFont="1" applyBorder="1" applyAlignment="1">
      <alignment vertical="center" wrapText="1"/>
    </xf>
    <xf fontId="40" fillId="0" borderId="20" numFmtId="0" xfId="0" applyFont="1" applyBorder="1" applyAlignment="1">
      <alignment horizontal="center" vertical="top" wrapText="1"/>
    </xf>
    <xf fontId="24" fillId="33" borderId="0" numFmtId="4" xfId="0" applyNumberFormat="1" applyFont="1" applyFill="1" applyAlignment="1">
      <alignment horizontal="center" vertical="top" wrapText="1"/>
    </xf>
    <xf fontId="40" fillId="0" borderId="20" numFmtId="0" xfId="43" applyFont="1" applyBorder="1" applyAlignment="1" applyProtection="1">
      <alignment vertical="top" wrapText="1"/>
    </xf>
    <xf fontId="40" fillId="0" borderId="20" numFmtId="1" xfId="0" applyNumberFormat="1" applyFont="1" applyBorder="1" applyAlignment="1">
      <alignment horizontal="center" vertical="top" wrapText="1"/>
    </xf>
    <xf fontId="40" fillId="0" borderId="20" numFmtId="164" xfId="43" applyNumberFormat="1" applyFont="1" applyBorder="1" applyAlignment="1" applyProtection="1">
      <alignment horizontal="center" vertical="center" wrapText="1"/>
    </xf>
    <xf fontId="40" fillId="0" borderId="20" numFmtId="4" xfId="0" applyNumberFormat="1" applyFont="1" applyBorder="1" applyAlignment="1">
      <alignment horizontal="center" vertical="center" wrapText="1"/>
    </xf>
    <xf fontId="40" fillId="0" borderId="20" numFmtId="165" xfId="0" applyNumberFormat="1" applyFont="1" applyBorder="1" applyAlignment="1">
      <alignment horizontal="center" vertical="center" wrapText="1"/>
    </xf>
    <xf fontId="40" fillId="0" borderId="20" numFmtId="0" xfId="0" applyFont="1" applyBorder="1" applyAlignment="1">
      <alignment horizontal="center" vertical="center" wrapText="1"/>
    </xf>
    <xf fontId="40" fillId="0" borderId="20" numFmtId="4" xfId="43" applyNumberFormat="1" applyFont="1" applyBorder="1" applyAlignment="1" applyProtection="1">
      <alignment horizontal="center" vertical="center" wrapText="1"/>
    </xf>
    <xf fontId="40" fillId="0" borderId="20" numFmtId="2" xfId="0" applyNumberFormat="1" applyFont="1" applyBorder="1" applyAlignment="1">
      <alignment horizontal="center" vertical="center" wrapText="1"/>
    </xf>
    <xf fontId="40" fillId="0" borderId="20" numFmtId="49" xfId="0" applyNumberFormat="1" applyFont="1" applyBorder="1" applyAlignment="1">
      <alignment horizontal="center" vertical="top" wrapText="1"/>
    </xf>
    <xf fontId="30" fillId="33" borderId="0" numFmtId="4" xfId="0" applyNumberFormat="1" applyFont="1" applyFill="1" applyAlignment="1">
      <alignment horizontal="center" vertical="top" wrapText="1"/>
    </xf>
    <xf fontId="30" fillId="0" borderId="0" numFmtId="164" xfId="0" applyNumberFormat="1" applyFont="1" applyAlignment="1">
      <alignment horizontal="center" vertical="center" wrapText="1"/>
    </xf>
    <xf fontId="40" fillId="0" borderId="20" numFmtId="0" xfId="0" applyFont="1" applyBorder="1" applyAlignment="1">
      <alignment vertical="center" wrapText="1"/>
    </xf>
    <xf fontId="40" fillId="0" borderId="20" numFmtId="164" xfId="0" applyNumberFormat="1" applyFont="1" applyBorder="1" applyAlignment="1">
      <alignment horizontal="center" vertical="center" wrapText="1"/>
    </xf>
    <xf fontId="40" fillId="0" borderId="20" numFmtId="2" xfId="43" applyNumberFormat="1" applyFont="1" applyBorder="1" applyAlignment="1" applyProtection="1">
      <alignment horizontal="center" vertical="center" wrapText="1"/>
    </xf>
    <xf fontId="34" fillId="0" borderId="0" numFmtId="0" xfId="0" applyFont="1" applyAlignment="1">
      <alignment horizontal="center" vertical="top" wrapText="1"/>
    </xf>
    <xf fontId="41" fillId="0" borderId="20" numFmtId="0" xfId="0" applyFont="1" applyBorder="1" applyAlignment="1">
      <alignment horizontal="center" vertical="top" wrapText="1"/>
    </xf>
    <xf fontId="38" fillId="0" borderId="20" numFmtId="49" xfId="0" applyNumberFormat="1" applyFont="1" applyBorder="1" applyAlignment="1">
      <alignment horizontal="left" vertical="center" wrapText="1"/>
    </xf>
    <xf fontId="41" fillId="0" borderId="20" numFmtId="4" xfId="0" applyNumberFormat="1" applyFont="1" applyBorder="1" applyAlignment="1">
      <alignment vertical="top" wrapText="1"/>
    </xf>
    <xf fontId="41" fillId="0" borderId="20" numFmtId="0" xfId="0" applyFont="1" applyBorder="1" applyAlignment="1">
      <alignment vertical="center" wrapText="1"/>
    </xf>
    <xf fontId="30" fillId="0" borderId="0" numFmtId="4" xfId="0" applyNumberFormat="1" applyFont="1" applyAlignment="1">
      <alignment horizontal="center" vertical="center" wrapText="1"/>
    </xf>
    <xf fontId="38" fillId="0" borderId="20" numFmtId="0" xfId="0" applyFont="1" applyBorder="1" applyAlignment="1">
      <alignment vertical="top" wrapText="1"/>
    </xf>
    <xf fontId="26" fillId="0" borderId="20" numFmtId="0" xfId="0" applyFont="1" applyBorder="1" applyAlignment="1">
      <alignment vertical="top" wrapText="1"/>
    </xf>
    <xf fontId="40" fillId="0" borderId="20" numFmtId="166" xfId="43" applyNumberFormat="1" applyFont="1" applyBorder="1" applyAlignment="1" applyProtection="1">
      <alignment horizontal="center" vertical="center" wrapText="1"/>
    </xf>
    <xf fontId="38" fillId="0" borderId="20" numFmtId="49" xfId="0" applyNumberFormat="1" applyFont="1" applyBorder="1" applyAlignment="1">
      <alignment horizontal="left" vertical="top" wrapText="1"/>
    </xf>
    <xf fontId="38" fillId="0" borderId="20" numFmtId="0" xfId="0" applyFont="1" applyBorder="1" applyAlignment="1">
      <alignment horizontal="left" vertical="center" wrapText="1"/>
    </xf>
    <xf fontId="37" fillId="0" borderId="0" numFmtId="4" xfId="0" applyNumberFormat="1" applyFont="1" applyAlignment="1">
      <alignment horizontal="center" vertical="center" wrapText="1"/>
    </xf>
    <xf fontId="38" fillId="0" borderId="20" numFmtId="0" xfId="0" applyFont="1" applyBorder="1" applyAlignment="1">
      <alignment horizontal="left" vertical="top" wrapText="1"/>
    </xf>
    <xf fontId="40" fillId="0" borderId="20" numFmtId="4" xfId="0" applyNumberFormat="1" applyFont="1" applyBorder="1" applyAlignment="1">
      <alignment vertical="top" wrapText="1"/>
    </xf>
    <xf fontId="25" fillId="0" borderId="20" numFmtId="0" xfId="0" applyFont="1" applyBorder="1" applyAlignment="1">
      <alignment horizontal="left" vertical="top" wrapText="1"/>
    </xf>
    <xf fontId="38" fillId="0" borderId="20" numFmtId="0" xfId="43" applyFont="1" applyBorder="1" applyAlignment="1" applyProtection="1">
      <alignment vertical="top" wrapText="1"/>
    </xf>
    <xf fontId="38" fillId="0" borderId="20" numFmtId="4" xfId="43" applyNumberFormat="1" applyFont="1" applyBorder="1" applyAlignment="1" applyProtection="1">
      <alignment horizontal="center" vertical="center" wrapText="1"/>
    </xf>
  </cellXfs>
  <cellStyles count="65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st116" xfId="19"/>
    <cellStyle name="xl112" xfId="20"/>
    <cellStyle name="xl113" xfId="21"/>
    <cellStyle name="xl114" xfId="22"/>
    <cellStyle name="xl119" xfId="23"/>
    <cellStyle name="xl120" xfId="24"/>
    <cellStyle name="xl121" xfId="25"/>
    <cellStyle name="xl126" xfId="26"/>
    <cellStyle name="xl128" xfId="27"/>
    <cellStyle name="xl33" xfId="28"/>
    <cellStyle name="xl35" xfId="29"/>
    <cellStyle name="xl48" xfId="30"/>
    <cellStyle name="xl52" xfId="31"/>
    <cellStyle name="xl63" xfId="32"/>
    <cellStyle name="Акцент1" xfId="33" builtinId="29"/>
    <cellStyle name="Акцент2" xfId="34" builtinId="33"/>
    <cellStyle name="Акцент3" xfId="35" builtinId="37"/>
    <cellStyle name="Акцент4" xfId="36" builtinId="41"/>
    <cellStyle name="Акцент5" xfId="37" builtinId="45"/>
    <cellStyle name="Акцент6" xfId="38" builtinId="49"/>
    <cellStyle name="Ввод " xfId="39" builtinId="20"/>
    <cellStyle name="Вывод" xfId="40" builtinId="21"/>
    <cellStyle name="Вычисление" xfId="41" builtinId="22"/>
    <cellStyle name="Гиперссылка" xfId="42" builtinId="8"/>
    <cellStyle name="Денежный" xfId="43" builtinId="4"/>
    <cellStyle name="Денежный [0]" xfId="44" builtinId="7"/>
    <cellStyle name="Заголовок 1" xfId="45" builtinId="16"/>
    <cellStyle name="Заголовок 2" xfId="46" builtinId="17"/>
    <cellStyle name="Заголовок 3" xfId="47" builtinId="18"/>
    <cellStyle name="Заголовок 4" xfId="48" builtinId="19"/>
    <cellStyle name="Итог" xfId="49" builtinId="25"/>
    <cellStyle name="Контрольная ячейка" xfId="50" builtinId="23"/>
    <cellStyle name="Название" xfId="51" builtinId="15"/>
    <cellStyle name="Нейтральный" xfId="52" builtinId="28"/>
    <cellStyle name="Обычный" xfId="0" builtinId="0"/>
    <cellStyle name="Обычный 2" xfId="53"/>
    <cellStyle name="Обычный 3" xfId="54"/>
    <cellStyle name="Открывавшаяся гиперссылка" xfId="55" builtinId="9"/>
    <cellStyle name="Плохой" xfId="56" builtinId="27"/>
    <cellStyle name="Пояснение" xfId="57" builtinId="53"/>
    <cellStyle name="Примечание" xfId="58" builtinId="10"/>
    <cellStyle name="Процентный" xfId="59" builtinId="5"/>
    <cellStyle name="Связанная ячейка" xfId="60" builtinId="24"/>
    <cellStyle name="Текст предупреждения" xfId="61" builtinId="11"/>
    <cellStyle name="Финансовый" xfId="62" builtinId="3"/>
    <cellStyle name="Финансовый [0]" xfId="63" builtinId="6"/>
    <cellStyle name="Хороший" xfId="64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Автор" id="{99FC41A5-3715-7169-E414-3B6CA61C449B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1" personId="{99FC41A5-3715-7169-E414-3B6CA61C449B}" id="{006700D8-00BE-4645-80CC-0048007E00CE}" done="0">
    <text xml:space="preserve"> КР.Б (13М)весь + М.Б весь
</text>
  </threadedComment>
  <threadedComment ref="F12" personId="{99FC41A5-3715-7169-E414-3B6CA61C449B}" id="{00EB0002-00BE-42A4-9C63-0021004000D1}" done="0">
    <text xml:space="preserve">Зарплата КР.Б (ст.211+ст.213)/численность детей
</text>
  </threadedComment>
  <threadedComment ref="G12" personId="{99FC41A5-3715-7169-E414-3B6CA61C449B}" id="{0085005B-002A-47B5-8C04-00C2007C00C2}" done="0">
    <text xml:space="preserve">221+223+225+226+310+310+340-птание+КБ учебные
/численность
</text>
  </threadedComment>
  <threadedComment ref="E14" personId="{99FC41A5-3715-7169-E414-3B6CA61C449B}" id="{00340064-0058-4FDD-B464-0019000C0082}" done="0">
    <text xml:space="preserve">сумма плановую выделенную по М.Б питание 5776503,95руб + план питание Род.плата 19032227,18 руб/ 1152 детей план год=21535,36 средняя
</text>
  </threadedComment>
  <threadedComment ref="E22" personId="{99FC41A5-3715-7169-E414-3B6CA61C449B}" id="{00EA00A2-00F0-4262-95EC-00DA00E00099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F24" personId="{99FC41A5-3715-7169-E414-3B6CA61C449B}" id="{000D001C-0070-45F1-B138-00FC007A00AE}" done="0">
    <text xml:space="preserve">Сумма КР.Б ст.211+ст213
/36чел как малокомплтный ДС
СМ.
</text>
  </threadedComment>
  <threadedComment ref="G24" personId="{99FC41A5-3715-7169-E414-3B6CA61C449B}" id="{00F700E0-00A9-4319-BB97-003800720010}" done="0">
    <text xml:space="preserve">М.Б ст.223+ст.225 + ст.340+221+310- 342питание + КР.Б все учебные расходы
СМ
</text>
  </threadedComment>
  <threadedComment ref="H24" personId="{99FC41A5-3715-7169-E414-3B6CA61C449B}" id="{0076007E-0040-46CE-A38D-008E00F30031}" done="0">
    <text xml:space="preserve">численность как малокомплектный 36
</text>
  </threadedComment>
  <threadedComment ref="E26" personId="{99FC41A5-3715-7169-E414-3B6CA61C449B}" id="{004D008B-002E-44E7-A555-00BF003C0026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30" personId="{99FC41A5-3715-7169-E414-3B6CA61C449B}" id="{00B2001F-0040-4A9F-AF58-00D4001F0028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34" personId="{99FC41A5-3715-7169-E414-3B6CA61C449B}" id="{00CE0057-0097-4118-96B5-009500860015}" done="0">
    <text xml:space="preserve">сумма плановую выделенную по М.Б 859266,00руб + план Род.плата 20 648 427,82 руб/ 1218детей план год=17 658,21 средняя
</text>
  </threadedComment>
  <threadedComment ref="E38" personId="{99FC41A5-3715-7169-E414-3B6CA61C449B}" id="{004000D5-0028-4FD4-9BC5-001300E900F0}" done="0">
    <text xml:space="preserve">сумма плановую выделенную по М.Б 859266,00руб + план Род.плата 20 648 427,82 руб/ 1218детей план год=17 658,21 средняя
</text>
  </threadedComment>
</ThreadedComments>
</file>

<file path=xl/worksheets/_rels/sheet2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64" zoomScale="80" workbookViewId="0">
      <selection activeCell="E77" activeCellId="0" sqref="E77"/>
    </sheetView>
  </sheetViews>
  <sheetFormatPr baseColWidth="8" defaultColWidth="20.140599999999999" defaultRowHeight="15" customHeight="1"/>
  <cols>
    <col customWidth="1" min="1" max="1" style="1" width="6.2851600000000003"/>
    <col customWidth="1" min="2" max="2" style="1" width="8.2851599999999994"/>
    <col customWidth="1" min="3" max="3" style="1" width="32"/>
    <col customWidth="1" min="4" max="4" style="1" width="28.140599999999999"/>
    <col customWidth="1" min="5" max="5" style="1" width="25.2852"/>
    <col customWidth="1" min="6" max="6" style="1" width="24.140599999999999"/>
    <col customWidth="1" min="7" max="7" style="1" width="25.5703"/>
    <col customWidth="1" min="8" max="8" style="1" width="12.425800000000001"/>
    <col customWidth="1" min="9" max="9" style="1" width="11.140599999999999"/>
    <col customWidth="1" min="10" max="10" style="1" width="11.2852"/>
    <col customWidth="1" min="11" max="11" style="1" width="16.5703"/>
    <col customWidth="1" min="12" max="12" style="1" width="10.425800000000001"/>
    <col customWidth="1" min="13" max="13" style="1" width="8.4257799999999996"/>
    <col customWidth="1" min="14" max="257" style="1" width="20.140599999999999"/>
  </cols>
  <sheetData>
    <row r="1" ht="12" customHeight="1">
      <c r="B1" s="2"/>
      <c r="C1" s="2"/>
      <c r="D1" s="2"/>
      <c r="E1" s="2"/>
      <c r="F1" s="2"/>
      <c r="G1" s="2"/>
      <c r="H1" s="2"/>
      <c r="I1" s="2"/>
      <c r="J1" s="2"/>
    </row>
    <row r="2" ht="68.25" customHeight="1">
      <c r="B2" s="2"/>
      <c r="C2" s="2"/>
      <c r="D2" s="2"/>
      <c r="E2" s="2"/>
      <c r="F2" s="3" t="s">
        <v>0</v>
      </c>
      <c r="G2" s="3"/>
      <c r="H2" s="4"/>
      <c r="I2" s="2"/>
      <c r="J2" s="2"/>
    </row>
    <row r="3" ht="12" customHeight="1">
      <c r="B3" s="2"/>
      <c r="C3" s="2"/>
      <c r="D3" s="2"/>
      <c r="E3" s="2"/>
      <c r="F3" s="2"/>
      <c r="G3" s="2"/>
      <c r="H3" s="2"/>
      <c r="I3" s="2"/>
      <c r="J3" s="2"/>
    </row>
    <row r="4" s="5" customFormat="1" ht="17.25">
      <c r="B4" s="6" t="s">
        <v>1</v>
      </c>
      <c r="C4" s="6"/>
      <c r="D4" s="6"/>
      <c r="E4" s="6"/>
      <c r="F4" s="6"/>
      <c r="G4" s="6"/>
    </row>
    <row r="5" s="5" customFormat="1" ht="10.5" customHeight="1"/>
    <row r="6" s="5" customFormat="1" ht="43.5" customHeight="1">
      <c r="B6" s="7" t="s">
        <v>2</v>
      </c>
      <c r="C6" s="7"/>
      <c r="D6" s="7"/>
      <c r="E6" s="7"/>
      <c r="F6" s="7"/>
      <c r="G6" s="7"/>
    </row>
    <row r="7" s="5" customFormat="1" ht="10.5" customHeight="1">
      <c r="D7" s="8"/>
      <c r="E7" s="9"/>
      <c r="F7" s="9"/>
      <c r="G7" s="9"/>
      <c r="H7" s="9"/>
      <c r="I7" s="9"/>
      <c r="J7" s="10"/>
    </row>
    <row r="8" s="2" customFormat="1" ht="43.5" customHeight="1">
      <c r="A8" s="11" t="s">
        <v>3</v>
      </c>
      <c r="B8" s="11" t="s">
        <v>4</v>
      </c>
      <c r="C8" s="12" t="s">
        <v>5</v>
      </c>
      <c r="D8" s="11" t="s">
        <v>6</v>
      </c>
      <c r="E8" s="12" t="s">
        <v>7</v>
      </c>
      <c r="F8" s="13" t="s">
        <v>8</v>
      </c>
      <c r="G8" s="13"/>
      <c r="H8" s="14"/>
      <c r="I8" s="14"/>
      <c r="J8" s="15"/>
    </row>
    <row r="9" s="2" customFormat="1" ht="167.25" customHeight="1">
      <c r="A9" s="11"/>
      <c r="B9" s="11"/>
      <c r="C9" s="12"/>
      <c r="D9" s="11"/>
      <c r="E9" s="12"/>
      <c r="F9" s="12" t="s">
        <v>9</v>
      </c>
      <c r="G9" s="12" t="s">
        <v>10</v>
      </c>
      <c r="H9" s="16" t="s">
        <v>11</v>
      </c>
      <c r="I9" s="17" t="s">
        <v>12</v>
      </c>
      <c r="J9" s="17" t="s">
        <v>13</v>
      </c>
      <c r="L9" s="2" t="s">
        <v>14</v>
      </c>
    </row>
    <row r="10" s="18" customFormat="1">
      <c r="A10" s="19">
        <v>1</v>
      </c>
      <c r="B10" s="19">
        <v>2</v>
      </c>
      <c r="C10" s="19">
        <v>3</v>
      </c>
      <c r="D10" s="19">
        <v>4</v>
      </c>
      <c r="E10" s="19"/>
      <c r="F10" s="19">
        <v>5</v>
      </c>
      <c r="G10" s="19">
        <v>6</v>
      </c>
      <c r="H10" s="20">
        <v>9</v>
      </c>
      <c r="I10" s="20">
        <v>10</v>
      </c>
      <c r="J10" s="20">
        <v>11</v>
      </c>
    </row>
    <row r="11" s="18" customFormat="1" ht="20.25" customHeight="1">
      <c r="A11" s="12" t="s">
        <v>15</v>
      </c>
      <c r="B11" s="21" t="s">
        <v>16</v>
      </c>
      <c r="C11" s="22" t="s">
        <v>17</v>
      </c>
      <c r="D11" s="12"/>
      <c r="E11" s="23">
        <f>5174408.7800000003+2959684.1800000002</f>
        <v>8134092.9600000009</v>
      </c>
      <c r="F11" s="12" t="s">
        <v>18</v>
      </c>
      <c r="G11" s="12" t="s">
        <v>18</v>
      </c>
      <c r="H11" s="24" t="s">
        <v>18</v>
      </c>
      <c r="I11" s="24" t="s">
        <v>18</v>
      </c>
      <c r="J11" s="24" t="s">
        <v>18</v>
      </c>
      <c r="K11" s="25">
        <f>E12*H12+E14*H14</f>
        <v>8134092.9598899996</v>
      </c>
    </row>
    <row r="12" s="26" customFormat="1" ht="48.75" customHeight="1">
      <c r="A12" s="27"/>
      <c r="B12" s="27"/>
      <c r="C12" s="28" t="s">
        <v>19</v>
      </c>
      <c r="D12" s="29" t="s">
        <v>20</v>
      </c>
      <c r="E12" s="30">
        <v>188685.65023</v>
      </c>
      <c r="F12" s="31">
        <v>66343</v>
      </c>
      <c r="G12" s="32">
        <v>44251.527600000001</v>
      </c>
      <c r="H12" s="33">
        <v>43</v>
      </c>
      <c r="I12" s="33">
        <v>43</v>
      </c>
      <c r="J12" s="33">
        <v>43</v>
      </c>
      <c r="K12" s="34">
        <f>(E11-E14*H14)/H12</f>
        <v>188685.65023255817</v>
      </c>
    </row>
    <row r="13" s="26" customFormat="1" ht="24.75" customHeight="1">
      <c r="A13" s="27"/>
      <c r="B13" s="27"/>
      <c r="C13" s="28" t="s">
        <v>21</v>
      </c>
      <c r="D13" s="35" t="s">
        <v>22</v>
      </c>
      <c r="E13" s="36">
        <v>0</v>
      </c>
      <c r="F13" s="37">
        <v>0</v>
      </c>
      <c r="G13" s="37">
        <v>0</v>
      </c>
      <c r="H13" s="33"/>
      <c r="I13" s="33"/>
      <c r="J13" s="33"/>
    </row>
    <row r="14" s="26" customFormat="1" ht="24.75" customHeight="1">
      <c r="A14" s="27"/>
      <c r="B14" s="27"/>
      <c r="C14" s="28" t="s">
        <v>23</v>
      </c>
      <c r="D14" s="29" t="s">
        <v>24</v>
      </c>
      <c r="E14" s="36">
        <v>20610</v>
      </c>
      <c r="F14" s="31">
        <v>0</v>
      </c>
      <c r="G14" s="31">
        <v>0</v>
      </c>
      <c r="H14" s="33">
        <v>1</v>
      </c>
      <c r="I14" s="33">
        <v>1</v>
      </c>
      <c r="J14" s="33">
        <v>1</v>
      </c>
    </row>
    <row r="15" s="26" customFormat="1" ht="21" customHeight="1">
      <c r="A15" s="27">
        <v>2</v>
      </c>
      <c r="B15" s="38" t="s">
        <v>16</v>
      </c>
      <c r="C15" s="22" t="s">
        <v>25</v>
      </c>
      <c r="D15" s="27"/>
      <c r="E15" s="23">
        <f>8731565.5999999996+6889547.21</f>
        <v>15621112.809999999</v>
      </c>
      <c r="F15" s="39" t="s">
        <v>18</v>
      </c>
      <c r="G15" s="39" t="s">
        <v>18</v>
      </c>
      <c r="H15" s="33" t="s">
        <v>18</v>
      </c>
      <c r="I15" s="33" t="s">
        <v>18</v>
      </c>
      <c r="J15" s="33" t="s">
        <v>18</v>
      </c>
      <c r="K15" s="40">
        <f>E16*H16+E18*H18</f>
        <v>15621112.8094</v>
      </c>
    </row>
    <row r="16" s="26" customFormat="1" ht="60">
      <c r="A16" s="27"/>
      <c r="B16" s="27"/>
      <c r="C16" s="28" t="s">
        <v>19</v>
      </c>
      <c r="D16" s="29" t="s">
        <v>20</v>
      </c>
      <c r="E16" s="30">
        <v>125644.29685</v>
      </c>
      <c r="F16" s="31">
        <v>53074</v>
      </c>
      <c r="G16" s="32">
        <v>18764.424900000002</v>
      </c>
      <c r="H16" s="41">
        <v>124</v>
      </c>
      <c r="I16" s="41">
        <v>124</v>
      </c>
      <c r="J16" s="41">
        <v>124</v>
      </c>
      <c r="K16" s="42">
        <f>(E15-E18*H18)/H16</f>
        <v>125644.2968548387</v>
      </c>
    </row>
    <row r="17" s="26" customFormat="1">
      <c r="A17" s="27"/>
      <c r="B17" s="27"/>
      <c r="C17" s="28" t="s">
        <v>23</v>
      </c>
      <c r="D17" s="35" t="s">
        <v>22</v>
      </c>
      <c r="E17" s="36">
        <v>0</v>
      </c>
      <c r="F17" s="37">
        <v>0</v>
      </c>
      <c r="G17" s="37">
        <v>0</v>
      </c>
      <c r="H17" s="41"/>
      <c r="I17" s="41"/>
      <c r="J17" s="41"/>
    </row>
    <row r="18" s="26" customFormat="1">
      <c r="A18" s="27"/>
      <c r="B18" s="27"/>
      <c r="C18" s="28" t="s">
        <v>21</v>
      </c>
      <c r="D18" s="29" t="s">
        <v>24</v>
      </c>
      <c r="E18" s="36">
        <v>20610</v>
      </c>
      <c r="F18" s="31">
        <v>0</v>
      </c>
      <c r="G18" s="31">
        <v>0</v>
      </c>
      <c r="H18" s="41">
        <v>2</v>
      </c>
      <c r="I18" s="41">
        <v>2</v>
      </c>
      <c r="J18" s="41">
        <v>2</v>
      </c>
    </row>
    <row r="19" s="26" customFormat="1" ht="21" customHeight="1">
      <c r="A19" s="27">
        <v>3</v>
      </c>
      <c r="B19" s="38" t="s">
        <v>16</v>
      </c>
      <c r="C19" s="22" t="s">
        <v>26</v>
      </c>
      <c r="D19" s="27"/>
      <c r="E19" s="23">
        <f>16441764.550000001+24995477.350000001</f>
        <v>41437241.900000006</v>
      </c>
      <c r="F19" s="39" t="s">
        <v>18</v>
      </c>
      <c r="G19" s="39" t="s">
        <v>18</v>
      </c>
      <c r="H19" s="33" t="s">
        <v>18</v>
      </c>
      <c r="I19" s="33" t="s">
        <v>18</v>
      </c>
      <c r="J19" s="33" t="s">
        <v>18</v>
      </c>
      <c r="K19" s="40">
        <f>E20*H20+E22*H22</f>
        <v>41437241.89897</v>
      </c>
    </row>
    <row r="20" s="26" customFormat="1" ht="60">
      <c r="A20" s="27"/>
      <c r="B20" s="38"/>
      <c r="C20" s="28" t="s">
        <v>19</v>
      </c>
      <c r="D20" s="29" t="s">
        <v>20</v>
      </c>
      <c r="E20" s="30">
        <v>95650.42009</v>
      </c>
      <c r="F20" s="31">
        <v>55239.410000000003</v>
      </c>
      <c r="G20" s="43">
        <v>14751.367399999999</v>
      </c>
      <c r="H20" s="41">
        <v>433</v>
      </c>
      <c r="I20" s="41">
        <v>433</v>
      </c>
      <c r="J20" s="41">
        <v>433</v>
      </c>
      <c r="K20" s="44">
        <f>(E19-E22*H22)/H20</f>
        <v>95650.420092378772</v>
      </c>
    </row>
    <row r="21" s="26" customFormat="1">
      <c r="A21" s="27"/>
      <c r="B21" s="38"/>
      <c r="C21" s="28" t="s">
        <v>23</v>
      </c>
      <c r="D21" s="35" t="s">
        <v>22</v>
      </c>
      <c r="E21" s="45">
        <v>0</v>
      </c>
      <c r="F21" s="37">
        <v>0</v>
      </c>
      <c r="G21" s="37">
        <v>0</v>
      </c>
      <c r="H21" s="41"/>
      <c r="I21" s="41"/>
      <c r="J21" s="41"/>
    </row>
    <row r="22" s="26" customFormat="1">
      <c r="A22" s="27"/>
      <c r="B22" s="38"/>
      <c r="C22" s="28" t="s">
        <v>21</v>
      </c>
      <c r="D22" s="29" t="s">
        <v>24</v>
      </c>
      <c r="E22" s="36">
        <v>20610</v>
      </c>
      <c r="F22" s="31">
        <v>0</v>
      </c>
      <c r="G22" s="31">
        <v>0</v>
      </c>
      <c r="H22" s="41">
        <v>1</v>
      </c>
      <c r="I22" s="41">
        <v>1</v>
      </c>
      <c r="J22" s="41">
        <v>1</v>
      </c>
    </row>
    <row r="23" s="26" customFormat="1" ht="20.25" customHeight="1">
      <c r="A23" s="27">
        <v>4</v>
      </c>
      <c r="B23" s="38" t="s">
        <v>16</v>
      </c>
      <c r="C23" s="22" t="s">
        <v>27</v>
      </c>
      <c r="D23" s="27"/>
      <c r="E23" s="46">
        <f>4522855.5300000003+2478955.1299999999</f>
        <v>7001810.6600000001</v>
      </c>
      <c r="F23" s="39" t="s">
        <v>18</v>
      </c>
      <c r="G23" s="39" t="s">
        <v>18</v>
      </c>
      <c r="H23" s="33" t="s">
        <v>18</v>
      </c>
      <c r="I23" s="33" t="s">
        <v>18</v>
      </c>
      <c r="J23" s="33" t="s">
        <v>18</v>
      </c>
      <c r="K23" s="40">
        <f>E24*H24+E26*H26</f>
        <v>7001810.6599200005</v>
      </c>
    </row>
    <row r="24" s="26" customFormat="1" ht="60">
      <c r="A24" s="27"/>
      <c r="B24" s="38"/>
      <c r="C24" s="28" t="s">
        <v>19</v>
      </c>
      <c r="D24" s="29" t="s">
        <v>20</v>
      </c>
      <c r="E24" s="30">
        <v>367431.61368000001</v>
      </c>
      <c r="F24" s="31">
        <v>125759.37</v>
      </c>
      <c r="G24" s="32">
        <v>110030.31630000001</v>
      </c>
      <c r="H24" s="41">
        <v>19</v>
      </c>
      <c r="I24" s="41">
        <v>19</v>
      </c>
      <c r="J24" s="41">
        <v>19</v>
      </c>
      <c r="K24" s="42">
        <f>(E23-E26*H26)/H24</f>
        <v>367431.61368421052</v>
      </c>
    </row>
    <row r="25" s="26" customFormat="1">
      <c r="A25" s="27"/>
      <c r="B25" s="38"/>
      <c r="C25" s="28" t="s">
        <v>23</v>
      </c>
      <c r="D25" s="35" t="s">
        <v>22</v>
      </c>
      <c r="E25" s="36">
        <v>0</v>
      </c>
      <c r="F25" s="37">
        <v>0</v>
      </c>
      <c r="G25" s="37">
        <v>0</v>
      </c>
      <c r="H25" s="41"/>
      <c r="I25" s="41"/>
      <c r="J25" s="41"/>
    </row>
    <row r="26" s="26" customFormat="1">
      <c r="A26" s="27"/>
      <c r="B26" s="38"/>
      <c r="C26" s="28" t="s">
        <v>21</v>
      </c>
      <c r="D26" s="29" t="s">
        <v>24</v>
      </c>
      <c r="E26" s="36">
        <v>20610</v>
      </c>
      <c r="F26" s="37">
        <v>0</v>
      </c>
      <c r="G26" s="37">
        <v>0</v>
      </c>
      <c r="H26" s="41">
        <v>1</v>
      </c>
      <c r="I26" s="41">
        <v>1</v>
      </c>
      <c r="J26" s="41">
        <v>1</v>
      </c>
    </row>
    <row r="27" s="26" customFormat="1">
      <c r="A27" s="27">
        <v>5</v>
      </c>
      <c r="B27" s="38" t="s">
        <v>16</v>
      </c>
      <c r="C27" s="22" t="s">
        <v>28</v>
      </c>
      <c r="D27" s="27"/>
      <c r="E27" s="46">
        <f>9227823.25+11610008.779999999</f>
        <v>20837832.030000001</v>
      </c>
      <c r="F27" s="39" t="s">
        <v>18</v>
      </c>
      <c r="G27" s="39" t="s">
        <v>18</v>
      </c>
      <c r="H27" s="33" t="s">
        <v>18</v>
      </c>
      <c r="I27" s="33" t="s">
        <v>18</v>
      </c>
      <c r="J27" s="33" t="s">
        <v>18</v>
      </c>
      <c r="K27" s="40">
        <f>E28*H28+E30*H30</f>
        <v>20837832.029490001</v>
      </c>
    </row>
    <row r="28" s="26" customFormat="1" ht="60">
      <c r="A28" s="27"/>
      <c r="B28" s="38"/>
      <c r="C28" s="28" t="s">
        <v>19</v>
      </c>
      <c r="D28" s="29" t="s">
        <v>20</v>
      </c>
      <c r="E28" s="30">
        <v>103465.73149000001</v>
      </c>
      <c r="F28" s="31">
        <v>55274.370000000003</v>
      </c>
      <c r="G28" s="32">
        <v>19550.880700000002</v>
      </c>
      <c r="H28" s="41">
        <v>201</v>
      </c>
      <c r="I28" s="41">
        <v>201</v>
      </c>
      <c r="J28" s="41">
        <v>201</v>
      </c>
      <c r="K28" s="42">
        <f>(E27-E30*H30)/H28</f>
        <v>103465.73149253732</v>
      </c>
    </row>
    <row r="29" s="26" customFormat="1">
      <c r="A29" s="27"/>
      <c r="B29" s="38"/>
      <c r="C29" s="28" t="s">
        <v>23</v>
      </c>
      <c r="D29" s="35" t="s">
        <v>22</v>
      </c>
      <c r="E29" s="36">
        <v>0</v>
      </c>
      <c r="F29" s="31">
        <v>0</v>
      </c>
      <c r="G29" s="31">
        <v>0</v>
      </c>
      <c r="H29" s="41"/>
      <c r="I29" s="41"/>
      <c r="J29" s="41"/>
    </row>
    <row r="30" s="26" customFormat="1">
      <c r="A30" s="27"/>
      <c r="B30" s="38"/>
      <c r="C30" s="28" t="s">
        <v>21</v>
      </c>
      <c r="D30" s="29" t="s">
        <v>24</v>
      </c>
      <c r="E30" s="36">
        <v>20610</v>
      </c>
      <c r="F30" s="31">
        <v>0</v>
      </c>
      <c r="G30" s="31">
        <v>0</v>
      </c>
      <c r="H30" s="41">
        <v>2</v>
      </c>
      <c r="I30" s="41">
        <v>2</v>
      </c>
      <c r="J30" s="41">
        <v>2</v>
      </c>
    </row>
    <row r="31" s="26" customFormat="1" ht="25.5" customHeight="1">
      <c r="A31" s="27">
        <v>6</v>
      </c>
      <c r="B31" s="38" t="s">
        <v>16</v>
      </c>
      <c r="C31" s="22" t="s">
        <v>29</v>
      </c>
      <c r="D31" s="27"/>
      <c r="E31" s="46">
        <f>12120881.779999999+19075619.449999999</f>
        <v>31196501.229999997</v>
      </c>
      <c r="F31" s="39" t="s">
        <v>18</v>
      </c>
      <c r="G31" s="39" t="s">
        <v>18</v>
      </c>
      <c r="H31" s="33" t="s">
        <v>18</v>
      </c>
      <c r="I31" s="33" t="s">
        <v>18</v>
      </c>
      <c r="J31" s="33" t="s">
        <v>18</v>
      </c>
      <c r="K31" s="40">
        <f>E32*H32+E34*H34</f>
        <v>31196501.230970003</v>
      </c>
    </row>
    <row r="32" s="26" customFormat="1" ht="60">
      <c r="A32" s="27"/>
      <c r="B32" s="38"/>
      <c r="C32" s="28" t="s">
        <v>19</v>
      </c>
      <c r="D32" s="29" t="s">
        <v>20</v>
      </c>
      <c r="E32" s="30">
        <v>94446.325930000006</v>
      </c>
      <c r="F32" s="31">
        <v>55493.739999999998</v>
      </c>
      <c r="G32" s="43">
        <v>15138.786</v>
      </c>
      <c r="H32" s="41">
        <v>329</v>
      </c>
      <c r="I32" s="41">
        <v>329</v>
      </c>
      <c r="J32" s="41">
        <v>329</v>
      </c>
      <c r="K32" s="44">
        <f>(E31-E34*H34)/H32</f>
        <v>94446.325927051657</v>
      </c>
    </row>
    <row r="33" s="26" customFormat="1">
      <c r="A33" s="27"/>
      <c r="B33" s="38"/>
      <c r="C33" s="28" t="s">
        <v>23</v>
      </c>
      <c r="D33" s="35" t="s">
        <v>22</v>
      </c>
      <c r="E33" s="36">
        <v>0</v>
      </c>
      <c r="F33" s="31">
        <v>0</v>
      </c>
      <c r="G33" s="31">
        <v>0</v>
      </c>
      <c r="H33" s="41"/>
      <c r="I33" s="41"/>
      <c r="J33" s="41"/>
    </row>
    <row r="34" s="26" customFormat="1">
      <c r="A34" s="27"/>
      <c r="B34" s="38"/>
      <c r="C34" s="28" t="s">
        <v>21</v>
      </c>
      <c r="D34" s="29" t="s">
        <v>24</v>
      </c>
      <c r="E34" s="36">
        <v>20610</v>
      </c>
      <c r="F34" s="31">
        <v>0</v>
      </c>
      <c r="G34" s="31">
        <v>0</v>
      </c>
      <c r="H34" s="41">
        <v>6</v>
      </c>
      <c r="I34" s="41">
        <v>6</v>
      </c>
      <c r="J34" s="41">
        <v>6</v>
      </c>
    </row>
    <row r="35" s="26" customFormat="1" ht="24.75" customHeight="1">
      <c r="A35" s="27">
        <v>7</v>
      </c>
      <c r="B35" s="38" t="s">
        <v>16</v>
      </c>
      <c r="C35" s="22" t="s">
        <v>30</v>
      </c>
      <c r="D35" s="27"/>
      <c r="E35" s="46">
        <f>7250205.0499999998+9889833.9000000004</f>
        <v>17140038.949999999</v>
      </c>
      <c r="F35" s="39" t="s">
        <v>18</v>
      </c>
      <c r="G35" s="39" t="s">
        <v>18</v>
      </c>
      <c r="H35" s="33" t="s">
        <v>18</v>
      </c>
      <c r="I35" s="33" t="s">
        <v>18</v>
      </c>
      <c r="J35" s="33" t="s">
        <v>18</v>
      </c>
      <c r="K35" s="40">
        <f>E36*H36+E38*H38</f>
        <v>17140038.95056</v>
      </c>
    </row>
    <row r="36" s="26" customFormat="1" ht="60">
      <c r="A36" s="27"/>
      <c r="B36" s="38"/>
      <c r="C36" s="28" t="s">
        <v>19</v>
      </c>
      <c r="D36" s="29" t="s">
        <v>20</v>
      </c>
      <c r="E36" s="30">
        <v>95366.061520000003</v>
      </c>
      <c r="F36" s="31">
        <v>53074</v>
      </c>
      <c r="G36" s="32">
        <v>13704.662399999999</v>
      </c>
      <c r="H36" s="41">
        <v>178</v>
      </c>
      <c r="I36" s="41">
        <v>178</v>
      </c>
      <c r="J36" s="41">
        <v>178</v>
      </c>
      <c r="K36" s="44">
        <f>(E35-E38*H38)/H36</f>
        <v>95366.061516853923</v>
      </c>
    </row>
    <row r="37" s="26" customFormat="1">
      <c r="A37" s="27"/>
      <c r="B37" s="38"/>
      <c r="C37" s="28" t="s">
        <v>23</v>
      </c>
      <c r="D37" s="35" t="s">
        <v>22</v>
      </c>
      <c r="E37" s="36">
        <v>0</v>
      </c>
      <c r="F37" s="31">
        <v>0</v>
      </c>
      <c r="G37" s="31">
        <v>0</v>
      </c>
      <c r="H37" s="41"/>
      <c r="I37" s="41"/>
      <c r="J37" s="41"/>
    </row>
    <row r="38" s="26" customFormat="1">
      <c r="A38" s="27"/>
      <c r="B38" s="38"/>
      <c r="C38" s="28" t="s">
        <v>21</v>
      </c>
      <c r="D38" s="29" t="s">
        <v>24</v>
      </c>
      <c r="E38" s="36">
        <v>20610</v>
      </c>
      <c r="F38" s="31">
        <v>0</v>
      </c>
      <c r="G38" s="31">
        <v>0</v>
      </c>
      <c r="H38" s="47">
        <v>8</v>
      </c>
      <c r="I38" s="48">
        <v>8</v>
      </c>
      <c r="J38" s="48">
        <v>8</v>
      </c>
    </row>
    <row r="39" s="26" customFormat="1" ht="30" customHeight="1">
      <c r="A39" s="27"/>
      <c r="B39" s="38" t="s">
        <v>16</v>
      </c>
      <c r="C39" s="49" t="s">
        <v>31</v>
      </c>
      <c r="D39" s="50"/>
      <c r="E39" s="46">
        <v>14204795.460000001</v>
      </c>
      <c r="F39" s="39" t="s">
        <v>18</v>
      </c>
      <c r="G39" s="31">
        <v>14204795.460000001</v>
      </c>
      <c r="H39" s="33" t="s">
        <v>18</v>
      </c>
      <c r="I39" s="33" t="s">
        <v>18</v>
      </c>
      <c r="J39" s="33" t="s">
        <v>18</v>
      </c>
      <c r="K39" s="40">
        <f>E40*H40+E42*H42</f>
        <v>0</v>
      </c>
    </row>
    <row r="40" s="26" customFormat="1" hidden="1">
      <c r="A40" s="27"/>
      <c r="B40" s="38"/>
      <c r="C40" s="28" t="s">
        <v>19</v>
      </c>
      <c r="D40" s="29" t="s">
        <v>20</v>
      </c>
      <c r="E40" s="30">
        <v>0</v>
      </c>
      <c r="F40" s="31">
        <v>0</v>
      </c>
      <c r="G40" s="32">
        <v>0</v>
      </c>
      <c r="H40" s="41">
        <v>120</v>
      </c>
      <c r="I40" s="41">
        <v>120</v>
      </c>
      <c r="J40" s="41">
        <v>120</v>
      </c>
      <c r="K40" s="42">
        <f>(E39-E42*H42)/H40</f>
        <v>118373.29550000001</v>
      </c>
    </row>
    <row r="41" s="26" customFormat="1" hidden="1">
      <c r="A41" s="27"/>
      <c r="B41" s="38"/>
      <c r="C41" s="28" t="s">
        <v>23</v>
      </c>
      <c r="D41" s="35" t="s">
        <v>22</v>
      </c>
      <c r="E41" s="36">
        <v>0</v>
      </c>
      <c r="F41" s="31">
        <v>0</v>
      </c>
      <c r="G41" s="31">
        <v>0</v>
      </c>
      <c r="H41" s="41"/>
      <c r="I41" s="41"/>
      <c r="J41" s="41"/>
    </row>
    <row r="42" s="26" customFormat="1" hidden="1">
      <c r="A42" s="27"/>
      <c r="B42" s="38"/>
      <c r="C42" s="28" t="s">
        <v>21</v>
      </c>
      <c r="D42" s="29" t="s">
        <v>24</v>
      </c>
      <c r="E42" s="36">
        <v>0</v>
      </c>
      <c r="F42" s="31">
        <v>0</v>
      </c>
      <c r="G42" s="31">
        <v>0</v>
      </c>
      <c r="H42" s="51"/>
      <c r="I42" s="51"/>
      <c r="J42" s="51"/>
    </row>
    <row r="43" s="26" customFormat="1" ht="21.75" customHeight="1">
      <c r="A43" s="52"/>
      <c r="B43" s="53" t="s">
        <v>16</v>
      </c>
      <c r="C43" s="54" t="s">
        <v>32</v>
      </c>
      <c r="D43" s="54"/>
      <c r="E43" s="55">
        <f>E11+E15+E19+E23+E27+E31+E35+E39</f>
        <v>155573426</v>
      </c>
      <c r="F43" s="56"/>
      <c r="G43" s="56"/>
      <c r="H43" s="57"/>
      <c r="I43" s="57"/>
      <c r="J43" s="57"/>
      <c r="K43" s="58">
        <f>E12*H12+E14*H14+E16*H16+E18*H18+E20*H20+E22*H22+E24*H24+E26*H26+E28*H28+E30*H30+E32*H32+E34*H34+E36*H36+E38*H38+E40*H40</f>
        <v>141368630.53920001</v>
      </c>
      <c r="L43" s="59" t="s">
        <v>33</v>
      </c>
      <c r="M43" s="26">
        <f>H12+H16+H20+H24+H28+H32+H36</f>
        <v>1327</v>
      </c>
      <c r="N43" s="40">
        <f>77674300+77899126</f>
        <v>155573426</v>
      </c>
    </row>
    <row r="44" s="26" customFormat="1">
      <c r="A44" s="27">
        <v>8</v>
      </c>
      <c r="B44" s="38" t="s">
        <v>34</v>
      </c>
      <c r="C44" s="60" t="s">
        <v>35</v>
      </c>
      <c r="D44" s="27"/>
      <c r="E44" s="23">
        <f>13776187.68+36707611</f>
        <v>50483798.68</v>
      </c>
      <c r="F44" s="27" t="s">
        <v>18</v>
      </c>
      <c r="G44" s="27" t="s">
        <v>18</v>
      </c>
      <c r="H44" s="33" t="s">
        <v>18</v>
      </c>
      <c r="I44" s="33" t="s">
        <v>18</v>
      </c>
      <c r="J44" s="33" t="s">
        <v>18</v>
      </c>
      <c r="K44" s="40">
        <f>E45*H45+E46*H46+E47*H47</f>
        <v>50483798.679449998</v>
      </c>
    </row>
    <row r="45" s="26" customFormat="1" ht="42.75">
      <c r="A45" s="27"/>
      <c r="B45" s="38"/>
      <c r="C45" s="61" t="s">
        <v>36</v>
      </c>
      <c r="D45" s="35" t="s">
        <v>37</v>
      </c>
      <c r="E45" s="62">
        <v>50737.486109999998</v>
      </c>
      <c r="F45" s="43">
        <v>33673.126629999999</v>
      </c>
      <c r="G45" s="32">
        <v>8823.0403000000006</v>
      </c>
      <c r="H45" s="41">
        <v>444</v>
      </c>
      <c r="I45" s="41">
        <v>444</v>
      </c>
      <c r="J45" s="41">
        <v>444</v>
      </c>
      <c r="K45" s="44">
        <f>E44/(H45+H46+H47)</f>
        <v>50737.486110552767</v>
      </c>
    </row>
    <row r="46" s="26" customFormat="1" ht="42.75">
      <c r="A46" s="27"/>
      <c r="B46" s="38"/>
      <c r="C46" s="61" t="s">
        <v>38</v>
      </c>
      <c r="D46" s="35" t="s">
        <v>39</v>
      </c>
      <c r="E46" s="62">
        <v>50737.486109999998</v>
      </c>
      <c r="F46" s="43">
        <v>33673.126629999999</v>
      </c>
      <c r="G46" s="32">
        <v>8823.0403000000006</v>
      </c>
      <c r="H46" s="41">
        <v>446</v>
      </c>
      <c r="I46" s="41">
        <v>446</v>
      </c>
      <c r="J46" s="41">
        <v>446</v>
      </c>
    </row>
    <row r="47" s="26" customFormat="1" ht="57">
      <c r="A47" s="27"/>
      <c r="B47" s="38"/>
      <c r="C47" s="61" t="s">
        <v>40</v>
      </c>
      <c r="D47" s="35" t="s">
        <v>41</v>
      </c>
      <c r="E47" s="62">
        <v>50737.486109999998</v>
      </c>
      <c r="F47" s="43">
        <v>33673.126629999999</v>
      </c>
      <c r="G47" s="32">
        <v>8823.0403000000006</v>
      </c>
      <c r="H47" s="41">
        <v>105</v>
      </c>
      <c r="I47" s="41">
        <v>105</v>
      </c>
      <c r="J47" s="41">
        <v>105</v>
      </c>
    </row>
    <row r="48" s="26" customFormat="1">
      <c r="A48" s="27">
        <v>9</v>
      </c>
      <c r="B48" s="38" t="s">
        <v>34</v>
      </c>
      <c r="C48" s="60" t="s">
        <v>42</v>
      </c>
      <c r="D48" s="27"/>
      <c r="E48" s="46">
        <f>11228797.550000001+36623380</f>
        <v>47852177.549999997</v>
      </c>
      <c r="F48" s="39" t="s">
        <v>18</v>
      </c>
      <c r="G48" s="39" t="s">
        <v>18</v>
      </c>
      <c r="H48" s="33" t="s">
        <v>18</v>
      </c>
      <c r="I48" s="33" t="s">
        <v>18</v>
      </c>
      <c r="J48" s="33" t="s">
        <v>18</v>
      </c>
      <c r="K48" s="40">
        <f>E49*H49+E50*H50+E51*H51+E52*H52</f>
        <v>47852177.548199996</v>
      </c>
    </row>
    <row r="49" s="26" customFormat="1" ht="42.75">
      <c r="A49" s="27"/>
      <c r="B49" s="38"/>
      <c r="C49" s="61" t="s">
        <v>36</v>
      </c>
      <c r="D49" s="35" t="s">
        <v>37</v>
      </c>
      <c r="E49" s="62">
        <v>48928.606899999999</v>
      </c>
      <c r="F49" s="43">
        <v>34193.844579999997</v>
      </c>
      <c r="G49" s="43">
        <v>7540.9530999999997</v>
      </c>
      <c r="H49" s="41">
        <v>399</v>
      </c>
      <c r="I49" s="41">
        <v>399</v>
      </c>
      <c r="J49" s="41">
        <v>399</v>
      </c>
      <c r="K49" s="44">
        <f>E48/(H49+H50+H51+H52)</f>
        <v>48928.606901840489</v>
      </c>
    </row>
    <row r="50" s="26" customFormat="1" ht="42.75">
      <c r="A50" s="27"/>
      <c r="B50" s="38"/>
      <c r="C50" s="61" t="s">
        <v>38</v>
      </c>
      <c r="D50" s="35" t="s">
        <v>39</v>
      </c>
      <c r="E50" s="62">
        <v>48928.606899999999</v>
      </c>
      <c r="F50" s="43">
        <v>34193.844579999997</v>
      </c>
      <c r="G50" s="43">
        <v>7540.9530999999997</v>
      </c>
      <c r="H50" s="41">
        <v>472</v>
      </c>
      <c r="I50" s="41">
        <v>472</v>
      </c>
      <c r="J50" s="41">
        <v>472</v>
      </c>
    </row>
    <row r="51" s="26" customFormat="1" ht="63.75" customHeight="1">
      <c r="A51" s="27"/>
      <c r="B51" s="38"/>
      <c r="C51" s="61" t="s">
        <v>43</v>
      </c>
      <c r="D51" s="35" t="s">
        <v>44</v>
      </c>
      <c r="E51" s="62">
        <v>48928.606899999999</v>
      </c>
      <c r="F51" s="43">
        <v>34193.844579999997</v>
      </c>
      <c r="G51" s="43">
        <v>7540.9530999999997</v>
      </c>
      <c r="H51" s="41">
        <v>2</v>
      </c>
      <c r="I51" s="41">
        <v>2</v>
      </c>
      <c r="J51" s="41">
        <v>2</v>
      </c>
    </row>
    <row r="52" s="26" customFormat="1" ht="57">
      <c r="A52" s="27"/>
      <c r="B52" s="38"/>
      <c r="C52" s="61" t="s">
        <v>40</v>
      </c>
      <c r="D52" s="35" t="s">
        <v>41</v>
      </c>
      <c r="E52" s="62">
        <v>48928.606899999999</v>
      </c>
      <c r="F52" s="43">
        <v>34193.844579999997</v>
      </c>
      <c r="G52" s="43">
        <v>7540.9530999999997</v>
      </c>
      <c r="H52" s="41">
        <v>105</v>
      </c>
      <c r="I52" s="41">
        <v>105</v>
      </c>
      <c r="J52" s="41">
        <v>105</v>
      </c>
    </row>
    <row r="53" s="26" customFormat="1">
      <c r="A53" s="27">
        <v>10</v>
      </c>
      <c r="B53" s="38" t="s">
        <v>34</v>
      </c>
      <c r="C53" s="22" t="s">
        <v>45</v>
      </c>
      <c r="D53" s="27"/>
      <c r="E53" s="46">
        <f>13667262.550000001+24710221</f>
        <v>38377483.549999997</v>
      </c>
      <c r="F53" s="39" t="s">
        <v>18</v>
      </c>
      <c r="G53" s="39" t="s">
        <v>18</v>
      </c>
      <c r="H53" s="33" t="s">
        <v>18</v>
      </c>
      <c r="I53" s="33" t="s">
        <v>18</v>
      </c>
      <c r="J53" s="33" t="s">
        <v>18</v>
      </c>
      <c r="K53" s="40">
        <f>E54*H54+E55*H55+E56*H56+E57*H57</f>
        <v>38377483.549889997</v>
      </c>
    </row>
    <row r="54" s="26" customFormat="1" ht="48.75" customHeight="1">
      <c r="A54" s="27"/>
      <c r="B54" s="38"/>
      <c r="C54" s="61" t="s">
        <v>36</v>
      </c>
      <c r="D54" s="35" t="s">
        <v>37</v>
      </c>
      <c r="E54" s="62">
        <v>55862.421470000001</v>
      </c>
      <c r="F54" s="32">
        <v>10873.084500000001</v>
      </c>
      <c r="G54" s="43">
        <v>32750.045119999999</v>
      </c>
      <c r="H54" s="41">
        <v>289</v>
      </c>
      <c r="I54" s="41">
        <v>289</v>
      </c>
      <c r="J54" s="41">
        <v>289</v>
      </c>
      <c r="K54" s="34">
        <f>E53/(H54+H55+H56+H57)</f>
        <v>55862.421470160109</v>
      </c>
    </row>
    <row r="55" s="26" customFormat="1" ht="47.25" customHeight="1">
      <c r="A55" s="27"/>
      <c r="B55" s="38"/>
      <c r="C55" s="61" t="s">
        <v>38</v>
      </c>
      <c r="D55" s="35" t="s">
        <v>39</v>
      </c>
      <c r="E55" s="62">
        <v>55862.421470000001</v>
      </c>
      <c r="F55" s="32">
        <v>10873.084500000001</v>
      </c>
      <c r="G55" s="43">
        <v>32750.045119999999</v>
      </c>
      <c r="H55" s="41">
        <v>344</v>
      </c>
      <c r="I55" s="41">
        <v>344</v>
      </c>
      <c r="J55" s="41">
        <v>344</v>
      </c>
    </row>
    <row r="56" s="26" customFormat="1" ht="63" customHeight="1">
      <c r="A56" s="27"/>
      <c r="B56" s="38"/>
      <c r="C56" s="61" t="s">
        <v>43</v>
      </c>
      <c r="D56" s="35" t="s">
        <v>44</v>
      </c>
      <c r="E56" s="62">
        <v>55862.421470000001</v>
      </c>
      <c r="F56" s="32">
        <v>10873.084500000001</v>
      </c>
      <c r="G56" s="43">
        <v>32750.045119999999</v>
      </c>
      <c r="H56" s="41">
        <v>1</v>
      </c>
      <c r="I56" s="41">
        <v>1</v>
      </c>
      <c r="J56" s="41">
        <v>1</v>
      </c>
    </row>
    <row r="57" s="26" customFormat="1" ht="57">
      <c r="A57" s="27"/>
      <c r="B57" s="38"/>
      <c r="C57" s="61" t="s">
        <v>40</v>
      </c>
      <c r="D57" s="35" t="s">
        <v>41</v>
      </c>
      <c r="E57" s="62">
        <v>55862.421470000001</v>
      </c>
      <c r="F57" s="32">
        <v>10873.084500000001</v>
      </c>
      <c r="G57" s="43">
        <v>32750.045119999999</v>
      </c>
      <c r="H57" s="41">
        <v>53</v>
      </c>
      <c r="I57" s="41">
        <v>53</v>
      </c>
      <c r="J57" s="41">
        <v>53</v>
      </c>
    </row>
    <row r="58" s="26" customFormat="1">
      <c r="A58" s="27">
        <v>11</v>
      </c>
      <c r="B58" s="38" t="s">
        <v>34</v>
      </c>
      <c r="C58" s="60" t="s">
        <v>46</v>
      </c>
      <c r="D58" s="27"/>
      <c r="E58" s="46">
        <f>9653872.8200000003+20708803</f>
        <v>30362675.82</v>
      </c>
      <c r="F58" s="39" t="s">
        <v>18</v>
      </c>
      <c r="G58" s="39" t="s">
        <v>18</v>
      </c>
      <c r="H58" s="33" t="s">
        <v>18</v>
      </c>
      <c r="I58" s="33" t="s">
        <v>18</v>
      </c>
      <c r="J58" s="33" t="s">
        <v>18</v>
      </c>
      <c r="K58" s="40">
        <f>E59*H59+E60*H60+E62*H62</f>
        <v>30362675.82093</v>
      </c>
    </row>
    <row r="59" s="26" customFormat="1" ht="48.75" customHeight="1">
      <c r="A59" s="27"/>
      <c r="B59" s="38"/>
      <c r="C59" s="61" t="s">
        <v>36</v>
      </c>
      <c r="D59" s="35" t="s">
        <v>37</v>
      </c>
      <c r="E59" s="63">
        <v>109612.54809</v>
      </c>
      <c r="F59" s="43">
        <v>71474.559569999998</v>
      </c>
      <c r="G59" s="32">
        <v>21381.393599999999</v>
      </c>
      <c r="H59" s="41">
        <v>100</v>
      </c>
      <c r="I59" s="41">
        <v>100</v>
      </c>
      <c r="J59" s="41">
        <v>100</v>
      </c>
      <c r="K59" s="34">
        <f>E58/(H59+H60+H61+H62+H63)</f>
        <v>109612.54808664259</v>
      </c>
    </row>
    <row r="60" s="26" customFormat="1" ht="50.25" customHeight="1">
      <c r="A60" s="27"/>
      <c r="B60" s="38"/>
      <c r="C60" s="61" t="s">
        <v>38</v>
      </c>
      <c r="D60" s="35" t="s">
        <v>39</v>
      </c>
      <c r="E60" s="63">
        <v>109612.54809</v>
      </c>
      <c r="F60" s="43">
        <v>71474.559569999998</v>
      </c>
      <c r="G60" s="32">
        <v>21381.393599999999</v>
      </c>
      <c r="H60" s="41">
        <v>152</v>
      </c>
      <c r="I60" s="41">
        <v>152</v>
      </c>
      <c r="J60" s="41">
        <v>152</v>
      </c>
    </row>
    <row r="61" s="26" customFormat="1" ht="63" hidden="1" customHeight="1">
      <c r="A61" s="27"/>
      <c r="B61" s="38"/>
      <c r="C61" s="61" t="s">
        <v>43</v>
      </c>
      <c r="D61" s="35" t="s">
        <v>47</v>
      </c>
      <c r="E61" s="63">
        <v>109612.54809</v>
      </c>
      <c r="F61" s="43">
        <v>71474.559569999998</v>
      </c>
      <c r="G61" s="32">
        <v>21381.393599999999</v>
      </c>
      <c r="H61" s="41">
        <v>0</v>
      </c>
      <c r="I61" s="41">
        <v>0</v>
      </c>
      <c r="J61" s="41">
        <v>0</v>
      </c>
    </row>
    <row r="62" s="26" customFormat="1" ht="57">
      <c r="A62" s="27"/>
      <c r="B62" s="38"/>
      <c r="C62" s="61" t="s">
        <v>40</v>
      </c>
      <c r="D62" s="35" t="s">
        <v>41</v>
      </c>
      <c r="E62" s="63">
        <v>109612.54809</v>
      </c>
      <c r="F62" s="43">
        <v>71474.559569999998</v>
      </c>
      <c r="G62" s="32">
        <v>21381.393599999999</v>
      </c>
      <c r="H62" s="41">
        <v>25</v>
      </c>
      <c r="I62" s="41">
        <v>25</v>
      </c>
      <c r="J62" s="41">
        <v>25</v>
      </c>
    </row>
    <row r="63" s="26" customFormat="1" hidden="1">
      <c r="A63" s="27"/>
      <c r="B63" s="38"/>
      <c r="C63" s="61" t="s">
        <v>48</v>
      </c>
      <c r="D63" s="35" t="s">
        <v>49</v>
      </c>
      <c r="E63" s="63"/>
      <c r="F63" s="31">
        <v>0</v>
      </c>
      <c r="G63" s="43"/>
      <c r="H63" s="41">
        <v>0</v>
      </c>
      <c r="I63" s="41">
        <v>0</v>
      </c>
      <c r="J63" s="64">
        <v>0</v>
      </c>
    </row>
    <row r="64" s="26" customFormat="1">
      <c r="A64" s="27">
        <v>12</v>
      </c>
      <c r="B64" s="38" t="s">
        <v>34</v>
      </c>
      <c r="C64" s="60" t="s">
        <v>50</v>
      </c>
      <c r="D64" s="27"/>
      <c r="E64" s="46">
        <f>8205047.4500000002+24050011</f>
        <v>32255058.449999999</v>
      </c>
      <c r="F64" s="39" t="s">
        <v>18</v>
      </c>
      <c r="G64" s="39" t="s">
        <v>18</v>
      </c>
      <c r="H64" s="33" t="s">
        <v>18</v>
      </c>
      <c r="I64" s="33" t="s">
        <v>18</v>
      </c>
      <c r="J64" s="33" t="s">
        <v>18</v>
      </c>
      <c r="K64" s="40">
        <f>E65*H65+E66*H66+E67*H67+E68*H68</f>
        <v>32255058.45267</v>
      </c>
    </row>
    <row r="65" s="26" customFormat="1" ht="51" customHeight="1">
      <c r="A65" s="27"/>
      <c r="B65" s="38"/>
      <c r="C65" s="61" t="s">
        <v>36</v>
      </c>
      <c r="D65" s="35" t="s">
        <v>37</v>
      </c>
      <c r="E65" s="62">
        <v>49094.457309999998</v>
      </c>
      <c r="F65" s="43">
        <v>33359.910199999998</v>
      </c>
      <c r="G65" s="32">
        <v>8702.4421999999995</v>
      </c>
      <c r="H65" s="41">
        <v>252</v>
      </c>
      <c r="I65" s="41">
        <v>252</v>
      </c>
      <c r="J65" s="41">
        <v>252</v>
      </c>
      <c r="K65" s="34">
        <f>E64/(H65+H66+H67+H68+H69)</f>
        <v>49094.45730593607</v>
      </c>
    </row>
    <row r="66" s="26" customFormat="1" ht="47.25" customHeight="1">
      <c r="A66" s="27"/>
      <c r="B66" s="38"/>
      <c r="C66" s="61" t="s">
        <v>38</v>
      </c>
      <c r="D66" s="35" t="s">
        <v>39</v>
      </c>
      <c r="E66" s="62">
        <v>49094.457309999998</v>
      </c>
      <c r="F66" s="43">
        <v>33359.910199999998</v>
      </c>
      <c r="G66" s="32">
        <v>8702.4421999999995</v>
      </c>
      <c r="H66" s="41">
        <v>354</v>
      </c>
      <c r="I66" s="41">
        <v>354</v>
      </c>
      <c r="J66" s="41">
        <v>354</v>
      </c>
    </row>
    <row r="67" s="26" customFormat="1" ht="63.75" customHeight="1">
      <c r="A67" s="27"/>
      <c r="B67" s="38"/>
      <c r="C67" s="61" t="s">
        <v>43</v>
      </c>
      <c r="D67" s="35" t="s">
        <v>44</v>
      </c>
      <c r="E67" s="62">
        <v>49094.457309999998</v>
      </c>
      <c r="F67" s="43">
        <v>33359.910199999998</v>
      </c>
      <c r="G67" s="32">
        <v>8702.4421999999995</v>
      </c>
      <c r="H67" s="41">
        <v>8</v>
      </c>
      <c r="I67" s="41">
        <v>8</v>
      </c>
      <c r="J67" s="41">
        <v>8</v>
      </c>
    </row>
    <row r="68" s="26" customFormat="1">
      <c r="A68" s="27"/>
      <c r="B68" s="38"/>
      <c r="C68" s="61" t="s">
        <v>40</v>
      </c>
      <c r="D68" s="35" t="s">
        <v>41</v>
      </c>
      <c r="E68" s="62">
        <v>49094.457309999998</v>
      </c>
      <c r="F68" s="43">
        <v>33359.910199999998</v>
      </c>
      <c r="G68" s="32">
        <v>8702.4421999999995</v>
      </c>
      <c r="H68" s="41">
        <v>43</v>
      </c>
      <c r="I68" s="41">
        <v>43</v>
      </c>
      <c r="J68" s="41">
        <v>43</v>
      </c>
    </row>
    <row r="69" s="26" customFormat="1" hidden="1">
      <c r="A69" s="27"/>
      <c r="B69" s="38"/>
      <c r="C69" s="61" t="s">
        <v>48</v>
      </c>
      <c r="D69" s="35" t="s">
        <v>49</v>
      </c>
      <c r="E69" s="62">
        <v>11615.774361702128</v>
      </c>
      <c r="F69" s="31">
        <v>0</v>
      </c>
      <c r="G69" s="43">
        <v>4965.8877507598791</v>
      </c>
      <c r="H69" s="41">
        <v>0</v>
      </c>
      <c r="I69" s="41">
        <v>0</v>
      </c>
      <c r="J69" s="64">
        <v>0</v>
      </c>
    </row>
    <row r="70" s="26" customFormat="1">
      <c r="A70" s="27">
        <v>13</v>
      </c>
      <c r="B70" s="38" t="s">
        <v>34</v>
      </c>
      <c r="C70" s="60" t="s">
        <v>51</v>
      </c>
      <c r="D70" s="27"/>
      <c r="E70" s="46">
        <f>3294031.9500000002+2673630</f>
        <v>5967661.9500000002</v>
      </c>
      <c r="F70" s="39" t="s">
        <v>18</v>
      </c>
      <c r="G70" s="39" t="s">
        <v>18</v>
      </c>
      <c r="H70" s="33" t="s">
        <v>18</v>
      </c>
      <c r="I70" s="33" t="s">
        <v>18</v>
      </c>
      <c r="J70" s="33" t="s">
        <v>18</v>
      </c>
      <c r="K70" s="40">
        <f>E71*H71+E72*H72</f>
        <v>5967661.9498200007</v>
      </c>
    </row>
    <row r="71" s="26" customFormat="1" ht="45.75" customHeight="1">
      <c r="A71" s="27"/>
      <c r="B71" s="38"/>
      <c r="C71" s="61" t="s">
        <v>36</v>
      </c>
      <c r="D71" s="35" t="s">
        <v>37</v>
      </c>
      <c r="E71" s="62">
        <v>110512.25833</v>
      </c>
      <c r="F71" s="31">
        <v>44820</v>
      </c>
      <c r="G71" s="32">
        <v>33585.305</v>
      </c>
      <c r="H71" s="41">
        <v>29</v>
      </c>
      <c r="I71" s="41">
        <v>29</v>
      </c>
      <c r="J71" s="41">
        <v>29</v>
      </c>
      <c r="K71" s="34">
        <f>E70/(H71+H72)</f>
        <v>110512.25833333333</v>
      </c>
    </row>
    <row r="72" s="26" customFormat="1" ht="48.75" customHeight="1">
      <c r="A72" s="27"/>
      <c r="B72" s="38"/>
      <c r="C72" s="61" t="s">
        <v>38</v>
      </c>
      <c r="D72" s="35" t="s">
        <v>39</v>
      </c>
      <c r="E72" s="62">
        <v>110512.25833</v>
      </c>
      <c r="F72" s="31">
        <v>44820</v>
      </c>
      <c r="G72" s="32">
        <v>33585.305</v>
      </c>
      <c r="H72" s="41">
        <v>25</v>
      </c>
      <c r="I72" s="41">
        <v>25</v>
      </c>
      <c r="J72" s="41">
        <v>25</v>
      </c>
    </row>
    <row r="73" s="26" customFormat="1" ht="21" customHeight="1">
      <c r="A73" s="27"/>
      <c r="B73" s="38"/>
      <c r="C73" s="65" t="s">
        <v>52</v>
      </c>
      <c r="D73" s="66"/>
      <c r="E73" s="36"/>
      <c r="F73" s="31">
        <v>1969732</v>
      </c>
      <c r="G73" s="31"/>
      <c r="H73" s="41"/>
      <c r="I73" s="41"/>
      <c r="J73" s="41"/>
    </row>
    <row r="74" s="26" customFormat="1" ht="15.75" customHeight="1">
      <c r="A74" s="27"/>
      <c r="B74" s="53" t="s">
        <v>34</v>
      </c>
      <c r="C74" s="67" t="s">
        <v>53</v>
      </c>
      <c r="D74" s="67"/>
      <c r="E74" s="55">
        <f>E44+E48+E53+E58+E64+E70+F73</f>
        <v>207268587.99999994</v>
      </c>
      <c r="F74" s="31"/>
      <c r="G74" s="31"/>
      <c r="H74" s="68"/>
      <c r="I74" s="68"/>
      <c r="J74" s="68"/>
      <c r="K74" s="69">
        <f>E45*H45+E46*H46+E47*H47+E49*H49+E50*H50+E51*H51+E52*H52+E54*H54+E55*H55+E56*H56+E57*H57+E59*H59+E60*H60+E61*H61+E62*H62+E63*H63+E65*H65+E66*H66+E67*H67+E68*H68+E69*H69+E71*H71+E72*H72</f>
        <v>205298856.00095993</v>
      </c>
      <c r="L74" s="70" t="s">
        <v>33</v>
      </c>
      <c r="M74" s="26">
        <f>H45+H46+H47+H49+H50+H51+H52+H54+H55+H56+H57+H59+H60+H62+H65+H66+H67+H68+H69+H71+H72</f>
        <v>3648</v>
      </c>
      <c r="N74" s="40">
        <f>59825200+147443388</f>
        <v>207268588</v>
      </c>
    </row>
    <row r="75" s="26" customFormat="1" ht="17.25" customHeight="1">
      <c r="A75" s="27"/>
      <c r="B75" s="38"/>
      <c r="C75" s="38"/>
      <c r="D75" s="71"/>
      <c r="E75" s="72"/>
      <c r="F75" s="73"/>
      <c r="G75" s="73"/>
      <c r="H75" s="41"/>
      <c r="I75" s="41"/>
      <c r="J75" s="41"/>
      <c r="K75" s="40">
        <v>48092210</v>
      </c>
    </row>
    <row r="76" s="26" customFormat="1">
      <c r="A76" s="27">
        <v>14</v>
      </c>
      <c r="B76" s="38" t="s">
        <v>54</v>
      </c>
      <c r="C76" s="22" t="s">
        <v>55</v>
      </c>
      <c r="D76" s="19"/>
      <c r="E76" s="46">
        <v>21314987.350000001</v>
      </c>
      <c r="F76" s="39" t="s">
        <v>18</v>
      </c>
      <c r="G76" s="39" t="s">
        <v>18</v>
      </c>
      <c r="H76" s="33" t="s">
        <v>18</v>
      </c>
      <c r="I76" s="33" t="s">
        <v>18</v>
      </c>
      <c r="J76" s="33" t="s">
        <v>18</v>
      </c>
    </row>
    <row r="77" s="26" customFormat="1">
      <c r="A77" s="27"/>
      <c r="B77" s="38"/>
      <c r="C77" s="28" t="s">
        <v>56</v>
      </c>
      <c r="D77" s="35" t="s">
        <v>57</v>
      </c>
      <c r="E77" s="30">
        <v>54653.813710000002</v>
      </c>
      <c r="F77" s="43">
        <v>20112.610691999998</v>
      </c>
      <c r="G77" s="43">
        <v>13406.5178</v>
      </c>
      <c r="H77" s="41">
        <v>390</v>
      </c>
      <c r="I77" s="41">
        <v>390</v>
      </c>
      <c r="J77" s="41">
        <v>390</v>
      </c>
      <c r="K77" s="69">
        <f>E77*H77</f>
        <v>21314987.346900001</v>
      </c>
      <c r="L77" s="70" t="s">
        <v>33</v>
      </c>
    </row>
    <row r="78" s="26" customFormat="1" ht="19.5" hidden="1" customHeight="1">
      <c r="A78" s="74"/>
      <c r="B78" s="75" t="s">
        <v>54</v>
      </c>
      <c r="C78" s="76" t="s">
        <v>58</v>
      </c>
      <c r="D78" s="77"/>
      <c r="E78" s="78"/>
      <c r="F78" s="79"/>
      <c r="G78" s="79"/>
      <c r="H78" s="80"/>
      <c r="I78" s="80"/>
      <c r="J78" s="80"/>
    </row>
    <row r="79" s="18" customFormat="1" hidden="1">
      <c r="A79" s="81" t="s">
        <v>59</v>
      </c>
      <c r="B79" s="82"/>
      <c r="C79" s="82"/>
      <c r="D79" s="82"/>
      <c r="E79" s="83"/>
      <c r="F79" s="12" t="s">
        <v>18</v>
      </c>
      <c r="G79" s="12" t="s">
        <v>18</v>
      </c>
      <c r="H79" s="12" t="s">
        <v>18</v>
      </c>
      <c r="I79" s="12" t="s">
        <v>18</v>
      </c>
      <c r="J79" s="12" t="s">
        <v>18</v>
      </c>
    </row>
    <row r="80" s="18" customFormat="1" hidden="1">
      <c r="A80" s="84" t="s">
        <v>60</v>
      </c>
      <c r="B80" s="85"/>
      <c r="C80" s="85"/>
      <c r="D80" s="85"/>
      <c r="E80" s="86"/>
      <c r="F80" s="12" t="s">
        <v>18</v>
      </c>
      <c r="G80" s="12" t="s">
        <v>18</v>
      </c>
      <c r="H80" s="12" t="s">
        <v>18</v>
      </c>
      <c r="I80" s="12" t="s">
        <v>18</v>
      </c>
      <c r="J80" s="12" t="s">
        <v>18</v>
      </c>
    </row>
    <row r="81" s="2" customFormat="1"/>
  </sheetData>
  <mergeCells count="17">
    <mergeCell ref="F2:G2"/>
    <mergeCell ref="B4:G4"/>
    <mergeCell ref="B6:G6"/>
    <mergeCell ref="A8:A9"/>
    <mergeCell ref="B8:B9"/>
    <mergeCell ref="C8:C9"/>
    <mergeCell ref="D8:D9"/>
    <mergeCell ref="E8:E9"/>
    <mergeCell ref="F8:G8"/>
    <mergeCell ref="H8:J8"/>
    <mergeCell ref="C39:D39"/>
    <mergeCell ref="C43:D43"/>
    <mergeCell ref="C73:D73"/>
    <mergeCell ref="C74:D74"/>
    <mergeCell ref="C78:D78"/>
    <mergeCell ref="A79:E79"/>
    <mergeCell ref="A80:E80"/>
  </mergeCells>
  <hyperlinks>
    <hyperlink location="Par866" ref="C14"/>
    <hyperlink location="Par866" ref="C17"/>
    <hyperlink location="Par866" ref="C21"/>
    <hyperlink location="Par866" ref="C25"/>
    <hyperlink location="Par866" ref="C29"/>
    <hyperlink location="Par866" ref="C33"/>
    <hyperlink location="Par866" ref="C37"/>
    <hyperlink location="Par866" ref="C41"/>
  </hyperlinks>
  <printOptions headings="0" gridLines="0"/>
  <pageMargins left="0.39370099999999991" right="0.39370099999999991" top="0.39370099999999991" bottom="0.39370099999999991" header="0" footer="0"/>
  <pageSetup paperSize="9" scale="63" firstPageNumber="1" fitToWidth="1" fitToHeight="2" pageOrder="downThenOver" orientation="portrait" usePrinterDefaults="1" blackAndWhite="0" draft="0" cellComments="none" useFirstPageNumber="0" errors="displayed" horizontalDpi="180" verticalDpi="18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2"/>
    <outlinePr applyStyles="0" summaryBelow="1" summaryRight="1" showOutlineSymbols="1"/>
    <pageSetUpPr autoPageBreaks="1" fitToPage="1"/>
  </sheetPr>
  <sheetViews>
    <sheetView zoomScale="80" workbookViewId="0">
      <selection activeCell="G77" activeCellId="0" sqref="G77"/>
    </sheetView>
  </sheetViews>
  <sheetFormatPr baseColWidth="8" defaultColWidth="20.140599999999999" defaultRowHeight="15" customHeight="1"/>
  <cols>
    <col customWidth="1" min="1" max="1" style="1" width="5.1406200000000002"/>
    <col customWidth="1" min="2" max="2" style="1" width="6.2851600000000003"/>
    <col customWidth="1" min="3" max="3" style="1" width="32"/>
    <col customWidth="1" min="4" max="4" style="1" width="28.140599999999999"/>
    <col customWidth="1" min="5" max="5" style="1" width="25.2852"/>
    <col customWidth="1" min="6" max="6" style="1" width="24.140599999999999"/>
    <col customWidth="1" min="7" max="7" style="1" width="41.570300000000003"/>
    <col customWidth="1" min="8" max="8" style="1" width="12.425800000000001"/>
    <col customWidth="1" min="9" max="9" style="1" width="11.140599999999999"/>
    <col customWidth="1" min="10" max="10" style="1" width="11.2852"/>
    <col customWidth="1" min="11" max="11" style="1" width="16.5703"/>
    <col customWidth="1" min="12" max="12" style="1" width="18.710899999999999"/>
    <col customWidth="1" min="13" max="13" style="1" width="8.4257799999999996"/>
    <col customWidth="1" min="14" max="257" style="1" width="20.140599999999999"/>
  </cols>
  <sheetData>
    <row r="1" ht="12" customHeight="1">
      <c r="B1" s="2"/>
      <c r="C1" s="2"/>
      <c r="D1" s="2"/>
      <c r="E1" s="2"/>
      <c r="F1" s="2"/>
      <c r="G1" s="2"/>
      <c r="H1" s="2"/>
      <c r="I1" s="2"/>
      <c r="J1" s="2"/>
    </row>
    <row r="2" ht="48" customHeight="1">
      <c r="B2" s="2"/>
      <c r="C2" s="2"/>
      <c r="D2" s="2"/>
      <c r="E2" s="2"/>
      <c r="F2" s="87" t="s">
        <v>61</v>
      </c>
      <c r="G2" s="88" t="s">
        <v>62</v>
      </c>
      <c r="H2" s="88"/>
      <c r="I2" s="88"/>
      <c r="J2" s="88"/>
    </row>
    <row r="3" ht="129.75" customHeight="1">
      <c r="B3" s="2"/>
      <c r="C3" s="2"/>
      <c r="D3" s="2"/>
      <c r="E3" s="2"/>
      <c r="F3" s="2" t="s">
        <v>63</v>
      </c>
      <c r="G3" s="88" t="s">
        <v>64</v>
      </c>
      <c r="H3" s="88"/>
      <c r="I3" s="88"/>
      <c r="J3" s="88"/>
    </row>
    <row r="4" s="5" customFormat="1">
      <c r="B4" s="6"/>
      <c r="C4" s="6"/>
      <c r="D4" s="6"/>
      <c r="E4" s="6"/>
      <c r="F4" s="6"/>
      <c r="G4" s="6"/>
    </row>
    <row r="5" s="5" customFormat="1" ht="10.5" customHeight="1"/>
    <row r="6" s="5" customFormat="1" ht="67.5" customHeight="1">
      <c r="A6" s="88" t="s">
        <v>65</v>
      </c>
      <c r="B6" s="88"/>
      <c r="C6" s="88"/>
      <c r="D6" s="88"/>
      <c r="E6" s="88"/>
      <c r="F6" s="88"/>
      <c r="G6" s="88"/>
      <c r="H6" s="88"/>
      <c r="I6" s="88"/>
      <c r="J6" s="88"/>
    </row>
    <row r="7" s="5" customFormat="1" ht="24" customHeight="1">
      <c r="D7" s="8"/>
      <c r="E7" s="9"/>
      <c r="F7" s="9"/>
      <c r="G7" s="9"/>
      <c r="H7" s="9"/>
      <c r="I7" s="9"/>
      <c r="J7" s="10"/>
    </row>
    <row r="8" s="2" customFormat="1" ht="43.5" customHeight="1">
      <c r="A8" s="89" t="s">
        <v>3</v>
      </c>
      <c r="B8" s="89" t="s">
        <v>4</v>
      </c>
      <c r="C8" s="90" t="s">
        <v>5</v>
      </c>
      <c r="D8" s="89" t="s">
        <v>6</v>
      </c>
      <c r="E8" s="90" t="s">
        <v>7</v>
      </c>
      <c r="F8" s="91" t="s">
        <v>8</v>
      </c>
      <c r="G8" s="91"/>
      <c r="H8" s="92"/>
      <c r="I8" s="92"/>
      <c r="J8" s="92"/>
    </row>
    <row r="9" s="2" customFormat="1" ht="192.75" customHeight="1">
      <c r="A9" s="89"/>
      <c r="B9" s="89"/>
      <c r="C9" s="90"/>
      <c r="D9" s="89"/>
      <c r="E9" s="90"/>
      <c r="F9" s="91" t="s">
        <v>9</v>
      </c>
      <c r="G9" s="91" t="s">
        <v>10</v>
      </c>
      <c r="H9" s="90" t="s">
        <v>66</v>
      </c>
      <c r="I9" s="90" t="s">
        <v>67</v>
      </c>
      <c r="J9" s="90" t="s">
        <v>68</v>
      </c>
    </row>
    <row r="10" s="18" customFormat="1" ht="17.25">
      <c r="A10" s="91">
        <v>1</v>
      </c>
      <c r="B10" s="91">
        <v>2</v>
      </c>
      <c r="C10" s="91">
        <v>3</v>
      </c>
      <c r="D10" s="91">
        <v>4</v>
      </c>
      <c r="E10" s="91"/>
      <c r="F10" s="91">
        <v>5</v>
      </c>
      <c r="G10" s="91">
        <v>6</v>
      </c>
      <c r="H10" s="91">
        <v>9</v>
      </c>
      <c r="I10" s="91">
        <v>10</v>
      </c>
      <c r="J10" s="91">
        <v>11</v>
      </c>
    </row>
    <row r="11" s="18" customFormat="1" ht="33.75" customHeight="1">
      <c r="A11" s="91" t="s">
        <v>15</v>
      </c>
      <c r="B11" s="93" t="s">
        <v>16</v>
      </c>
      <c r="C11" s="94" t="s">
        <v>69</v>
      </c>
      <c r="D11" s="95"/>
      <c r="E11" s="72">
        <f>6422272.0300000003+6526022.75</f>
        <v>12948294.780000001</v>
      </c>
      <c r="F11" s="91" t="s">
        <v>18</v>
      </c>
      <c r="G11" s="91" t="s">
        <v>18</v>
      </c>
      <c r="H11" s="90" t="s">
        <v>18</v>
      </c>
      <c r="I11" s="90" t="s">
        <v>18</v>
      </c>
      <c r="J11" s="90" t="s">
        <v>18</v>
      </c>
      <c r="K11" s="96">
        <f>E12*H12+E14*H14</f>
        <v>12948294.780178731</v>
      </c>
    </row>
    <row r="12" s="26" customFormat="1" ht="93" customHeight="1">
      <c r="A12" s="95"/>
      <c r="B12" s="95"/>
      <c r="C12" s="97" t="s">
        <v>19</v>
      </c>
      <c r="D12" s="98" t="s">
        <v>20</v>
      </c>
      <c r="E12" s="99">
        <v>279447.38429999998</v>
      </c>
      <c r="F12" s="100">
        <f>(6196375.3399999999)/46</f>
        <v>134703.81173913044</v>
      </c>
      <c r="G12" s="101">
        <f>(14868.08+940359.78000000003+131619.39000000001+96651.919999999998+220670.17000000001+52684.690000000002+173212)/46</f>
        <v>35436.218043478257</v>
      </c>
      <c r="H12" s="102">
        <v>46</v>
      </c>
      <c r="I12" s="102">
        <v>46</v>
      </c>
      <c r="J12" s="102">
        <v>46</v>
      </c>
      <c r="K12" s="34">
        <f>(E11-E14*H14)/H12</f>
        <v>279447.38429611456</v>
      </c>
    </row>
    <row r="13" s="26" customFormat="1" ht="58.5" customHeight="1">
      <c r="A13" s="95"/>
      <c r="B13" s="95"/>
      <c r="C13" s="97" t="s">
        <v>21</v>
      </c>
      <c r="D13" s="95" t="s">
        <v>22</v>
      </c>
      <c r="E13" s="103">
        <v>0</v>
      </c>
      <c r="F13" s="104">
        <v>0</v>
      </c>
      <c r="G13" s="104">
        <v>0</v>
      </c>
      <c r="H13" s="102"/>
      <c r="I13" s="102"/>
      <c r="J13" s="102"/>
    </row>
    <row r="14" s="26" customFormat="1" ht="39" customHeight="1">
      <c r="A14" s="95"/>
      <c r="B14" s="95"/>
      <c r="C14" s="97" t="s">
        <v>23</v>
      </c>
      <c r="D14" s="98" t="s">
        <v>24</v>
      </c>
      <c r="E14" s="103">
        <f>(1711100+18381417.949999999)/1072</f>
        <v>18743.020475746267</v>
      </c>
      <c r="F14" s="100">
        <v>0</v>
      </c>
      <c r="G14" s="100">
        <v>0</v>
      </c>
      <c r="H14" s="102">
        <v>5</v>
      </c>
      <c r="I14" s="102">
        <v>5</v>
      </c>
      <c r="J14" s="102">
        <v>5</v>
      </c>
    </row>
    <row r="15" s="26" customFormat="1" ht="58.5" customHeight="1">
      <c r="A15" s="95">
        <v>2</v>
      </c>
      <c r="B15" s="105" t="s">
        <v>16</v>
      </c>
      <c r="C15" s="94" t="s">
        <v>70</v>
      </c>
      <c r="D15" s="95"/>
      <c r="E15" s="72">
        <f>10474710.359999999+10408914.359999999</f>
        <v>20883624.719999999</v>
      </c>
      <c r="F15" s="102" t="s">
        <v>18</v>
      </c>
      <c r="G15" s="102" t="s">
        <v>18</v>
      </c>
      <c r="H15" s="102" t="s">
        <v>18</v>
      </c>
      <c r="I15" s="102" t="s">
        <v>18</v>
      </c>
      <c r="J15" s="102" t="s">
        <v>18</v>
      </c>
      <c r="K15" s="106">
        <f>E16*H16+E18*H18</f>
        <v>20883624.720479999</v>
      </c>
    </row>
    <row r="16" s="26" customFormat="1" ht="69">
      <c r="A16" s="95"/>
      <c r="B16" s="95"/>
      <c r="C16" s="97" t="s">
        <v>19</v>
      </c>
      <c r="D16" s="98" t="s">
        <v>20</v>
      </c>
      <c r="E16" s="99">
        <v>215780.59938</v>
      </c>
      <c r="F16" s="100">
        <f>(9957963.7899999991)/H16</f>
        <v>103728.78947916666</v>
      </c>
      <c r="G16" s="101">
        <f>1966880.3300000001/96</f>
        <v>20488.336770833335</v>
      </c>
      <c r="H16" s="102">
        <v>96</v>
      </c>
      <c r="I16" s="102">
        <v>96</v>
      </c>
      <c r="J16" s="102">
        <f>I16</f>
        <v>96</v>
      </c>
      <c r="K16" s="107">
        <f>(E15-E18*H18)/H16</f>
        <v>215780.59937499999</v>
      </c>
    </row>
    <row r="17" s="26" customFormat="1" ht="34.5">
      <c r="A17" s="95"/>
      <c r="B17" s="95"/>
      <c r="C17" s="97" t="s">
        <v>23</v>
      </c>
      <c r="D17" s="95" t="s">
        <v>22</v>
      </c>
      <c r="E17" s="103">
        <v>0</v>
      </c>
      <c r="F17" s="104">
        <v>0</v>
      </c>
      <c r="G17" s="104">
        <v>0</v>
      </c>
      <c r="H17" s="108"/>
      <c r="I17" s="108"/>
      <c r="J17" s="108"/>
    </row>
    <row r="18" s="26" customFormat="1" ht="39" customHeight="1">
      <c r="A18" s="95"/>
      <c r="B18" s="95"/>
      <c r="C18" s="97" t="s">
        <v>21</v>
      </c>
      <c r="D18" s="98" t="s">
        <v>24</v>
      </c>
      <c r="E18" s="103">
        <v>18743.02</v>
      </c>
      <c r="F18" s="100">
        <v>0</v>
      </c>
      <c r="G18" s="100">
        <v>0</v>
      </c>
      <c r="H18" s="102">
        <v>9</v>
      </c>
      <c r="I18" s="102">
        <v>9</v>
      </c>
      <c r="J18" s="102">
        <v>9</v>
      </c>
    </row>
    <row r="19" s="26" customFormat="1" ht="37.5" customHeight="1">
      <c r="A19" s="95">
        <v>3</v>
      </c>
      <c r="B19" s="105" t="s">
        <v>16</v>
      </c>
      <c r="C19" s="94" t="s">
        <v>71</v>
      </c>
      <c r="D19" s="95"/>
      <c r="E19" s="72">
        <f>17993947.539999999+24908502</f>
        <v>42902449.539999999</v>
      </c>
      <c r="F19" s="102" t="s">
        <v>18</v>
      </c>
      <c r="G19" s="102" t="s">
        <v>18</v>
      </c>
      <c r="H19" s="102" t="s">
        <v>18</v>
      </c>
      <c r="I19" s="102" t="s">
        <v>18</v>
      </c>
      <c r="J19" s="102" t="s">
        <v>18</v>
      </c>
      <c r="K19" s="106">
        <f>E20*H20+E22*H22</f>
        <v>42902449.539360002</v>
      </c>
    </row>
    <row r="20" s="26" customFormat="1" ht="69">
      <c r="A20" s="95"/>
      <c r="B20" s="105"/>
      <c r="C20" s="97" t="s">
        <v>19</v>
      </c>
      <c r="D20" s="98" t="s">
        <v>20</v>
      </c>
      <c r="E20" s="99">
        <v>204459.56317000001</v>
      </c>
      <c r="F20" s="100">
        <f>(23988441.050000001)/H20</f>
        <v>115329.04350961538</v>
      </c>
      <c r="G20" s="109">
        <f>6312473.3499999996/208</f>
        <v>30348.429567307692</v>
      </c>
      <c r="H20" s="102">
        <v>208</v>
      </c>
      <c r="I20" s="102">
        <v>208</v>
      </c>
      <c r="J20" s="102">
        <f>I20</f>
        <v>208</v>
      </c>
      <c r="K20" s="107">
        <f>(E19-E22*H22)/H20</f>
        <v>204459.56317307692</v>
      </c>
    </row>
    <row r="21" s="26" customFormat="1" ht="34.5">
      <c r="A21" s="95"/>
      <c r="B21" s="105"/>
      <c r="C21" s="97" t="s">
        <v>23</v>
      </c>
      <c r="D21" s="95" t="s">
        <v>22</v>
      </c>
      <c r="E21" s="110">
        <v>0</v>
      </c>
      <c r="F21" s="104">
        <v>0</v>
      </c>
      <c r="G21" s="104">
        <v>0</v>
      </c>
      <c r="H21" s="108"/>
      <c r="I21" s="108"/>
      <c r="J21" s="108"/>
    </row>
    <row r="22" s="26" customFormat="1" ht="48.75" customHeight="1">
      <c r="A22" s="95"/>
      <c r="B22" s="105"/>
      <c r="C22" s="97" t="s">
        <v>21</v>
      </c>
      <c r="D22" s="98" t="s">
        <v>24</v>
      </c>
      <c r="E22" s="103">
        <v>18743.02</v>
      </c>
      <c r="F22" s="100">
        <v>0</v>
      </c>
      <c r="G22" s="100">
        <v>0</v>
      </c>
      <c r="H22" s="102">
        <v>20</v>
      </c>
      <c r="I22" s="102">
        <v>20</v>
      </c>
      <c r="J22" s="102">
        <v>20</v>
      </c>
    </row>
    <row r="23" s="26" customFormat="1" ht="39.75" customHeight="1">
      <c r="A23" s="95">
        <v>4</v>
      </c>
      <c r="B23" s="105" t="s">
        <v>16</v>
      </c>
      <c r="C23" s="94" t="s">
        <v>72</v>
      </c>
      <c r="D23" s="95"/>
      <c r="E23" s="72">
        <f>4499830.8899999997+3969405.9500000002-1600000</f>
        <v>6869236.8399999999</v>
      </c>
      <c r="F23" s="102" t="s">
        <v>18</v>
      </c>
      <c r="G23" s="102" t="s">
        <v>18</v>
      </c>
      <c r="H23" s="102" t="s">
        <v>18</v>
      </c>
      <c r="I23" s="102" t="s">
        <v>18</v>
      </c>
      <c r="J23" s="102" t="s">
        <v>18</v>
      </c>
      <c r="K23" s="106">
        <f>E24*H24+E26*H26</f>
        <v>6869236.8398399996</v>
      </c>
    </row>
    <row r="24" s="26" customFormat="1" ht="93.75" customHeight="1">
      <c r="A24" s="95"/>
      <c r="B24" s="105"/>
      <c r="C24" s="97" t="s">
        <v>19</v>
      </c>
      <c r="D24" s="98" t="s">
        <v>20</v>
      </c>
      <c r="E24" s="99">
        <v>190812.13443999999</v>
      </c>
      <c r="F24" s="100">
        <f>(3820352.5299999998)/H24</f>
        <v>106120.90361111111</v>
      </c>
      <c r="G24" s="101">
        <f>624886.68999999994/36</f>
        <v>17357.96361111111</v>
      </c>
      <c r="H24" s="102">
        <v>36</v>
      </c>
      <c r="I24" s="102">
        <v>36</v>
      </c>
      <c r="J24" s="102">
        <v>36</v>
      </c>
      <c r="K24" s="107">
        <f>(E23-E26*H26)/H24</f>
        <v>190812.13444444444</v>
      </c>
      <c r="L24" s="111"/>
    </row>
    <row r="25" s="26" customFormat="1" ht="34.5">
      <c r="A25" s="95"/>
      <c r="B25" s="105"/>
      <c r="C25" s="97" t="s">
        <v>23</v>
      </c>
      <c r="D25" s="95" t="s">
        <v>22</v>
      </c>
      <c r="E25" s="103">
        <v>0</v>
      </c>
      <c r="F25" s="104">
        <v>0</v>
      </c>
      <c r="G25" s="104">
        <v>0</v>
      </c>
      <c r="H25" s="108"/>
      <c r="I25" s="108"/>
      <c r="J25" s="108"/>
    </row>
    <row r="26" s="26" customFormat="1" ht="42.75" customHeight="1">
      <c r="A26" s="95"/>
      <c r="B26" s="105"/>
      <c r="C26" s="97" t="s">
        <v>21</v>
      </c>
      <c r="D26" s="98" t="s">
        <v>24</v>
      </c>
      <c r="E26" s="103">
        <v>18743.02</v>
      </c>
      <c r="F26" s="104">
        <v>0</v>
      </c>
      <c r="G26" s="104">
        <v>0</v>
      </c>
      <c r="H26" s="102">
        <v>0</v>
      </c>
      <c r="I26" s="102">
        <v>0</v>
      </c>
      <c r="J26" s="102">
        <v>0</v>
      </c>
    </row>
    <row r="27" s="26" customFormat="1" ht="43.5" customHeight="1">
      <c r="A27" s="95">
        <v>5</v>
      </c>
      <c r="B27" s="105" t="s">
        <v>16</v>
      </c>
      <c r="C27" s="94" t="s">
        <v>73</v>
      </c>
      <c r="D27" s="95"/>
      <c r="E27" s="72">
        <f>27092693.23+25035592.469999999</f>
        <v>52128285.700000003</v>
      </c>
      <c r="F27" s="102" t="s">
        <v>18</v>
      </c>
      <c r="G27" s="102" t="s">
        <v>18</v>
      </c>
      <c r="H27" s="102" t="s">
        <v>18</v>
      </c>
      <c r="I27" s="102" t="s">
        <v>18</v>
      </c>
      <c r="J27" s="102" t="s">
        <v>18</v>
      </c>
      <c r="K27" s="106">
        <f>E28*H28+E30*H30</f>
        <v>52128285.701120004</v>
      </c>
    </row>
    <row r="28" s="26" customFormat="1" ht="69">
      <c r="A28" s="95"/>
      <c r="B28" s="105"/>
      <c r="C28" s="97" t="s">
        <v>19</v>
      </c>
      <c r="D28" s="98" t="s">
        <v>20</v>
      </c>
      <c r="E28" s="99">
        <v>222671.16466000001</v>
      </c>
      <c r="F28" s="100">
        <f>(23959448.07)/H28</f>
        <v>103273.48306034484</v>
      </c>
      <c r="G28" s="101">
        <f>8481388.5199999996/H28</f>
        <v>36557.70913793103</v>
      </c>
      <c r="H28" s="102">
        <v>232</v>
      </c>
      <c r="I28" s="102">
        <v>232</v>
      </c>
      <c r="J28" s="102">
        <f>I28</f>
        <v>232</v>
      </c>
      <c r="K28" s="107">
        <f>(E27-E30*H30)/H28</f>
        <v>222671.16465517244</v>
      </c>
    </row>
    <row r="29" s="26" customFormat="1" ht="34.5">
      <c r="A29" s="95"/>
      <c r="B29" s="105"/>
      <c r="C29" s="97" t="s">
        <v>23</v>
      </c>
      <c r="D29" s="95" t="s">
        <v>22</v>
      </c>
      <c r="E29" s="103">
        <v>0</v>
      </c>
      <c r="F29" s="100">
        <v>0</v>
      </c>
      <c r="G29" s="100">
        <v>0</v>
      </c>
      <c r="H29" s="108"/>
      <c r="I29" s="108"/>
      <c r="J29" s="108"/>
    </row>
    <row r="30" s="26" customFormat="1" ht="36.75" customHeight="1">
      <c r="A30" s="95"/>
      <c r="B30" s="105"/>
      <c r="C30" s="97" t="s">
        <v>21</v>
      </c>
      <c r="D30" s="98" t="s">
        <v>24</v>
      </c>
      <c r="E30" s="103">
        <v>18743.02</v>
      </c>
      <c r="F30" s="100">
        <v>0</v>
      </c>
      <c r="G30" s="100">
        <v>0</v>
      </c>
      <c r="H30" s="102">
        <v>25</v>
      </c>
      <c r="I30" s="102">
        <v>25</v>
      </c>
      <c r="J30" s="102">
        <v>25</v>
      </c>
    </row>
    <row r="31" s="26" customFormat="1" ht="44.25" customHeight="1">
      <c r="A31" s="95">
        <v>6</v>
      </c>
      <c r="B31" s="105" t="s">
        <v>16</v>
      </c>
      <c r="C31" s="94" t="s">
        <v>74</v>
      </c>
      <c r="D31" s="95"/>
      <c r="E31" s="72">
        <f>14800233.279999999+28459621.649999999</f>
        <v>43259854.93</v>
      </c>
      <c r="F31" s="102" t="s">
        <v>18</v>
      </c>
      <c r="G31" s="102" t="s">
        <v>18</v>
      </c>
      <c r="H31" s="102" t="s">
        <v>18</v>
      </c>
      <c r="I31" s="102" t="s">
        <v>18</v>
      </c>
      <c r="J31" s="102" t="s">
        <v>18</v>
      </c>
      <c r="K31" s="106">
        <f>E32*H32+E34*H34</f>
        <v>43259854.930239998</v>
      </c>
    </row>
    <row r="32" s="26" customFormat="1" ht="69">
      <c r="A32" s="95"/>
      <c r="B32" s="105"/>
      <c r="C32" s="97" t="s">
        <v>19</v>
      </c>
      <c r="D32" s="98" t="s">
        <v>20</v>
      </c>
      <c r="E32" s="99">
        <v>167373.08004</v>
      </c>
      <c r="F32" s="100">
        <f>(27268725.600000001)/H32</f>
        <v>106518.45937500001</v>
      </c>
      <c r="G32" s="109">
        <f>5748185.1799999997/H32</f>
        <v>22453.848359374999</v>
      </c>
      <c r="H32" s="102">
        <v>256</v>
      </c>
      <c r="I32" s="102">
        <f>H32</f>
        <v>256</v>
      </c>
      <c r="J32" s="102">
        <f>I32</f>
        <v>256</v>
      </c>
      <c r="K32" s="107">
        <f>(E31-E34*H34)/H32</f>
        <v>167373.08003906251</v>
      </c>
    </row>
    <row r="33" s="26" customFormat="1" ht="34.5">
      <c r="A33" s="95"/>
      <c r="B33" s="105"/>
      <c r="C33" s="97" t="s">
        <v>23</v>
      </c>
      <c r="D33" s="95" t="s">
        <v>22</v>
      </c>
      <c r="E33" s="103">
        <v>0</v>
      </c>
      <c r="F33" s="100">
        <v>0</v>
      </c>
      <c r="G33" s="100">
        <v>0</v>
      </c>
      <c r="H33" s="108"/>
      <c r="I33" s="108"/>
      <c r="J33" s="108"/>
    </row>
    <row r="34" s="26" customFormat="1" ht="36.75" customHeight="1">
      <c r="A34" s="95"/>
      <c r="B34" s="105"/>
      <c r="C34" s="97" t="s">
        <v>21</v>
      </c>
      <c r="D34" s="98" t="s">
        <v>24</v>
      </c>
      <c r="E34" s="103">
        <v>18743.02</v>
      </c>
      <c r="F34" s="100">
        <v>0</v>
      </c>
      <c r="G34" s="100">
        <v>0</v>
      </c>
      <c r="H34" s="102">
        <v>22</v>
      </c>
      <c r="I34" s="102">
        <v>22</v>
      </c>
      <c r="J34" s="102">
        <v>22</v>
      </c>
    </row>
    <row r="35" s="26" customFormat="1" ht="42.75" customHeight="1">
      <c r="A35" s="95">
        <v>7</v>
      </c>
      <c r="B35" s="105" t="s">
        <v>16</v>
      </c>
      <c r="C35" s="94" t="s">
        <v>75</v>
      </c>
      <c r="D35" s="95"/>
      <c r="E35" s="72">
        <f>9722169.5+13912669.539999999</f>
        <v>23634839.039999999</v>
      </c>
      <c r="F35" s="102" t="s">
        <v>18</v>
      </c>
      <c r="G35" s="102" t="s">
        <v>18</v>
      </c>
      <c r="H35" s="102" t="s">
        <v>18</v>
      </c>
      <c r="I35" s="102" t="s">
        <v>18</v>
      </c>
      <c r="J35" s="102" t="s">
        <v>18</v>
      </c>
      <c r="K35" s="106">
        <f>E36*H36+E38*H38</f>
        <v>23634839.03988</v>
      </c>
    </row>
    <row r="36" s="26" customFormat="1" ht="69">
      <c r="A36" s="95"/>
      <c r="B36" s="105"/>
      <c r="C36" s="97" t="s">
        <v>19</v>
      </c>
      <c r="D36" s="98" t="s">
        <v>20</v>
      </c>
      <c r="E36" s="99">
        <v>182854.27244</v>
      </c>
      <c r="F36" s="100">
        <f>(13306715.779999999)/H36</f>
        <v>104777.28960629921</v>
      </c>
      <c r="G36" s="101">
        <f>2937538.29/H36</f>
        <v>23130.222755905514</v>
      </c>
      <c r="H36" s="102">
        <v>127</v>
      </c>
      <c r="I36" s="102">
        <f>H36</f>
        <v>127</v>
      </c>
      <c r="J36" s="102">
        <f>I36</f>
        <v>127</v>
      </c>
      <c r="K36" s="107">
        <f>(E35-E38*H38)/H36</f>
        <v>182854.27244094486</v>
      </c>
    </row>
    <row r="37" s="26" customFormat="1" ht="34.5">
      <c r="A37" s="95"/>
      <c r="B37" s="105"/>
      <c r="C37" s="97" t="s">
        <v>23</v>
      </c>
      <c r="D37" s="95" t="s">
        <v>22</v>
      </c>
      <c r="E37" s="103">
        <v>0</v>
      </c>
      <c r="F37" s="100">
        <v>0</v>
      </c>
      <c r="G37" s="100">
        <v>0</v>
      </c>
      <c r="H37" s="108"/>
      <c r="I37" s="108"/>
      <c r="J37" s="108"/>
    </row>
    <row r="38" s="26" customFormat="1" ht="36.75" customHeight="1">
      <c r="A38" s="95"/>
      <c r="B38" s="105"/>
      <c r="C38" s="97" t="s">
        <v>21</v>
      </c>
      <c r="D38" s="98" t="s">
        <v>24</v>
      </c>
      <c r="E38" s="103">
        <v>18743.02</v>
      </c>
      <c r="F38" s="100">
        <v>0</v>
      </c>
      <c r="G38" s="100">
        <v>0</v>
      </c>
      <c r="H38" s="102">
        <v>22</v>
      </c>
      <c r="I38" s="102">
        <v>22</v>
      </c>
      <c r="J38" s="102">
        <v>22</v>
      </c>
    </row>
    <row r="39" s="26" customFormat="1" ht="28.5" customHeight="1">
      <c r="A39" s="112"/>
      <c r="B39" s="105" t="s">
        <v>16</v>
      </c>
      <c r="C39" s="113" t="s">
        <v>32</v>
      </c>
      <c r="D39" s="113"/>
      <c r="E39" s="72">
        <f>E11+E15+E19+E23+E27+E31+E35</f>
        <v>202626585.54999998</v>
      </c>
      <c r="F39" s="114"/>
      <c r="G39" s="114"/>
      <c r="H39" s="102">
        <f>H12+H14+H16+H18+H20+H22+H28+H30+H32+H34+H36+H38+H24+H26</f>
        <v>1104</v>
      </c>
      <c r="I39" s="115"/>
      <c r="J39" s="115"/>
      <c r="K39" s="58"/>
      <c r="L39" s="59"/>
      <c r="M39" s="44"/>
      <c r="N39" s="116"/>
    </row>
    <row r="40" s="26" customFormat="1" ht="22.5" customHeight="1">
      <c r="A40" s="95">
        <v>9</v>
      </c>
      <c r="B40" s="105" t="s">
        <v>34</v>
      </c>
      <c r="C40" s="117" t="s">
        <v>76</v>
      </c>
      <c r="D40" s="95"/>
      <c r="E40" s="72">
        <f>18610106.690000001+57706726.109999999+200000</f>
        <v>76516832.799999997</v>
      </c>
      <c r="F40" s="95" t="s">
        <v>18</v>
      </c>
      <c r="G40" s="95" t="s">
        <v>18</v>
      </c>
      <c r="H40" s="102" t="s">
        <v>18</v>
      </c>
      <c r="I40" s="102" t="s">
        <v>18</v>
      </c>
      <c r="J40" s="102" t="s">
        <v>18</v>
      </c>
      <c r="K40" s="106">
        <f>(E41*H41)+(E42*H42)+E43*H43</f>
        <v>76516832.799999997</v>
      </c>
    </row>
    <row r="41" s="26" customFormat="1" ht="69">
      <c r="A41" s="95"/>
      <c r="B41" s="105"/>
      <c r="C41" s="97" t="s">
        <v>36</v>
      </c>
      <c r="D41" s="95" t="s">
        <v>37</v>
      </c>
      <c r="E41" s="99">
        <f>K41</f>
        <v>76440.392407592401</v>
      </c>
      <c r="F41" s="109">
        <f t="shared" ref="F41:F43" si="0">53384867.109999999/1001</f>
        <v>53331.535574425572</v>
      </c>
      <c r="G41" s="101">
        <f t="shared" ref="G41:G43" si="1">10824017.189999999/1001</f>
        <v>10813.203986013985</v>
      </c>
      <c r="H41" s="102">
        <v>424</v>
      </c>
      <c r="I41" s="102">
        <v>424</v>
      </c>
      <c r="J41" s="102">
        <v>424</v>
      </c>
      <c r="K41" s="107">
        <f>E40/(H41+H42+H43)</f>
        <v>76440.392407592401</v>
      </c>
    </row>
    <row r="42" s="26" customFormat="1" ht="69">
      <c r="A42" s="95"/>
      <c r="B42" s="105"/>
      <c r="C42" s="97" t="s">
        <v>38</v>
      </c>
      <c r="D42" s="95" t="s">
        <v>39</v>
      </c>
      <c r="E42" s="99">
        <f>K41</f>
        <v>76440.392407592401</v>
      </c>
      <c r="F42" s="109">
        <f t="shared" si="0"/>
        <v>53331.535574425572</v>
      </c>
      <c r="G42" s="101">
        <f t="shared" si="1"/>
        <v>10813.203986013985</v>
      </c>
      <c r="H42" s="102">
        <v>488</v>
      </c>
      <c r="I42" s="102">
        <f t="shared" ref="I42:I79" si="2">H42</f>
        <v>488</v>
      </c>
      <c r="J42" s="102">
        <f t="shared" ref="J42:J79" si="3">I42</f>
        <v>488</v>
      </c>
    </row>
    <row r="43" s="26" customFormat="1" ht="69">
      <c r="A43" s="95"/>
      <c r="B43" s="105"/>
      <c r="C43" s="97" t="s">
        <v>77</v>
      </c>
      <c r="D43" s="95" t="s">
        <v>41</v>
      </c>
      <c r="E43" s="99">
        <f>K41</f>
        <v>76440.392407592401</v>
      </c>
      <c r="F43" s="109">
        <f t="shared" si="0"/>
        <v>53331.535574425572</v>
      </c>
      <c r="G43" s="101">
        <f t="shared" si="1"/>
        <v>10813.203986013985</v>
      </c>
      <c r="H43" s="102">
        <v>89</v>
      </c>
      <c r="I43" s="102">
        <f t="shared" si="2"/>
        <v>89</v>
      </c>
      <c r="J43" s="102">
        <f t="shared" si="3"/>
        <v>89</v>
      </c>
    </row>
    <row r="44" s="26" customFormat="1" ht="17.25">
      <c r="A44" s="95">
        <v>10</v>
      </c>
      <c r="B44" s="105" t="s">
        <v>34</v>
      </c>
      <c r="C44" s="117" t="s">
        <v>78</v>
      </c>
      <c r="D44" s="95"/>
      <c r="E44" s="72">
        <f>15544905.32+52401678.159999996+700000</f>
        <v>68646583.479999989</v>
      </c>
      <c r="F44" s="102" t="s">
        <v>18</v>
      </c>
      <c r="G44" s="102" t="s">
        <v>18</v>
      </c>
      <c r="H44" s="102" t="s">
        <v>18</v>
      </c>
      <c r="I44" s="102" t="s">
        <v>18</v>
      </c>
      <c r="J44" s="102" t="s">
        <v>18</v>
      </c>
      <c r="K44" s="106">
        <f>(E45*H45)+(E46*H46)+(E48*H48)</f>
        <v>68646583.479999974</v>
      </c>
    </row>
    <row r="45" s="26" customFormat="1" ht="69">
      <c r="A45" s="95"/>
      <c r="B45" s="105"/>
      <c r="C45" s="97" t="s">
        <v>36</v>
      </c>
      <c r="D45" s="95" t="s">
        <v>37</v>
      </c>
      <c r="E45" s="99">
        <f>K45</f>
        <v>72032.091794333668</v>
      </c>
      <c r="F45" s="109">
        <f t="shared" ref="F45:F48" si="4">48184522.159999996/953</f>
        <v>50560.883693599157</v>
      </c>
      <c r="G45" s="109">
        <f t="shared" ref="G45:G48" si="5">9628768.7599999998/953</f>
        <v>10103.639832109129</v>
      </c>
      <c r="H45" s="102">
        <v>379</v>
      </c>
      <c r="I45" s="102">
        <f t="shared" si="2"/>
        <v>379</v>
      </c>
      <c r="J45" s="102">
        <f t="shared" si="3"/>
        <v>379</v>
      </c>
      <c r="K45" s="107">
        <f>E44/(H45+H46+H47+H48)</f>
        <v>72032.091794333668</v>
      </c>
    </row>
    <row r="46" s="26" customFormat="1" ht="69">
      <c r="A46" s="95"/>
      <c r="B46" s="105"/>
      <c r="C46" s="97" t="s">
        <v>38</v>
      </c>
      <c r="D46" s="95" t="s">
        <v>39</v>
      </c>
      <c r="E46" s="99">
        <f>K45</f>
        <v>72032.091794333668</v>
      </c>
      <c r="F46" s="109">
        <f t="shared" si="4"/>
        <v>50560.883693599157</v>
      </c>
      <c r="G46" s="109">
        <f t="shared" si="5"/>
        <v>10103.639832109129</v>
      </c>
      <c r="H46" s="102">
        <v>486</v>
      </c>
      <c r="I46" s="102">
        <f t="shared" si="2"/>
        <v>486</v>
      </c>
      <c r="J46" s="102">
        <f t="shared" si="3"/>
        <v>486</v>
      </c>
    </row>
    <row r="47" s="26" customFormat="1" ht="79.5" customHeight="1">
      <c r="A47" s="95"/>
      <c r="B47" s="105"/>
      <c r="C47" s="97" t="s">
        <v>43</v>
      </c>
      <c r="D47" s="95" t="s">
        <v>44</v>
      </c>
      <c r="E47" s="99">
        <f>K45</f>
        <v>72032.091794333668</v>
      </c>
      <c r="F47" s="109">
        <f t="shared" si="4"/>
        <v>50560.883693599157</v>
      </c>
      <c r="G47" s="109">
        <f t="shared" si="5"/>
        <v>10103.639832109129</v>
      </c>
      <c r="H47" s="102">
        <v>0</v>
      </c>
      <c r="I47" s="102">
        <v>0</v>
      </c>
      <c r="J47" s="102">
        <v>0</v>
      </c>
    </row>
    <row r="48" s="26" customFormat="1" ht="69">
      <c r="A48" s="95"/>
      <c r="B48" s="105"/>
      <c r="C48" s="97" t="s">
        <v>40</v>
      </c>
      <c r="D48" s="95" t="s">
        <v>41</v>
      </c>
      <c r="E48" s="99">
        <f>K45</f>
        <v>72032.091794333668</v>
      </c>
      <c r="F48" s="109">
        <f t="shared" si="4"/>
        <v>50560.883693599157</v>
      </c>
      <c r="G48" s="109">
        <f t="shared" si="5"/>
        <v>10103.639832109129</v>
      </c>
      <c r="H48" s="102">
        <v>88</v>
      </c>
      <c r="I48" s="102">
        <f t="shared" si="2"/>
        <v>88</v>
      </c>
      <c r="J48" s="102">
        <f t="shared" si="3"/>
        <v>88</v>
      </c>
    </row>
    <row r="49" s="26" customFormat="1" ht="17.25">
      <c r="A49" s="95">
        <v>11</v>
      </c>
      <c r="B49" s="105" t="s">
        <v>34</v>
      </c>
      <c r="C49" s="118" t="s">
        <v>79</v>
      </c>
      <c r="D49" s="95"/>
      <c r="E49" s="72">
        <f>17652057.34+32708038.98+200000</f>
        <v>50560096.32</v>
      </c>
      <c r="F49" s="102" t="s">
        <v>18</v>
      </c>
      <c r="G49" s="102" t="s">
        <v>18</v>
      </c>
      <c r="H49" s="102" t="s">
        <v>18</v>
      </c>
      <c r="I49" s="102" t="s">
        <v>18</v>
      </c>
      <c r="J49" s="102" t="s">
        <v>18</v>
      </c>
      <c r="K49" s="40">
        <f>E50*H50+E51*H51+E52*H52+E53*H53</f>
        <v>50560096.32</v>
      </c>
    </row>
    <row r="50" s="26" customFormat="1" ht="72.75" customHeight="1">
      <c r="A50" s="95"/>
      <c r="B50" s="105"/>
      <c r="C50" s="97" t="s">
        <v>36</v>
      </c>
      <c r="D50" s="95" t="s">
        <v>37</v>
      </c>
      <c r="E50" s="99">
        <f>K51</f>
        <v>81945.050761750404</v>
      </c>
      <c r="F50" s="101">
        <f t="shared" ref="F50:F53" si="6">30074437.98/617</f>
        <v>48743.011312803894</v>
      </c>
      <c r="G50" s="109">
        <f t="shared" ref="G50:G53" si="7">7210817.8099999996/617</f>
        <v>11686.900826580226</v>
      </c>
      <c r="H50" s="102">
        <v>276</v>
      </c>
      <c r="I50" s="102">
        <f t="shared" si="2"/>
        <v>276</v>
      </c>
      <c r="J50" s="102">
        <f t="shared" si="3"/>
        <v>276</v>
      </c>
      <c r="K50" s="34"/>
    </row>
    <row r="51" s="26" customFormat="1" ht="75.75" customHeight="1">
      <c r="A51" s="95"/>
      <c r="B51" s="105"/>
      <c r="C51" s="97" t="s">
        <v>38</v>
      </c>
      <c r="D51" s="95" t="s">
        <v>39</v>
      </c>
      <c r="E51" s="99">
        <f>K51</f>
        <v>81945.050761750404</v>
      </c>
      <c r="F51" s="101">
        <f t="shared" si="6"/>
        <v>48743.011312803894</v>
      </c>
      <c r="G51" s="109">
        <f t="shared" si="7"/>
        <v>11686.900826580226</v>
      </c>
      <c r="H51" s="102">
        <v>297</v>
      </c>
      <c r="I51" s="102">
        <f t="shared" si="2"/>
        <v>297</v>
      </c>
      <c r="J51" s="102">
        <f t="shared" si="3"/>
        <v>297</v>
      </c>
      <c r="K51" s="34">
        <f>E49/(H50+H51+H52+H53)</f>
        <v>81945.050761750404</v>
      </c>
    </row>
    <row r="52" s="26" customFormat="1" ht="103.5" customHeight="1">
      <c r="A52" s="95"/>
      <c r="B52" s="105"/>
      <c r="C52" s="97" t="s">
        <v>43</v>
      </c>
      <c r="D52" s="95" t="s">
        <v>44</v>
      </c>
      <c r="E52" s="99">
        <f>K51</f>
        <v>81945.050761750404</v>
      </c>
      <c r="F52" s="101">
        <f t="shared" si="6"/>
        <v>48743.011312803894</v>
      </c>
      <c r="G52" s="109">
        <f t="shared" si="7"/>
        <v>11686.900826580226</v>
      </c>
      <c r="H52" s="102">
        <v>0</v>
      </c>
      <c r="I52" s="102">
        <v>0</v>
      </c>
      <c r="J52" s="102">
        <v>0</v>
      </c>
    </row>
    <row r="53" s="26" customFormat="1" ht="81" customHeight="1">
      <c r="A53" s="95"/>
      <c r="B53" s="105"/>
      <c r="C53" s="97" t="s">
        <v>40</v>
      </c>
      <c r="D53" s="95" t="s">
        <v>41</v>
      </c>
      <c r="E53" s="99">
        <f>K51</f>
        <v>81945.050761750404</v>
      </c>
      <c r="F53" s="101">
        <f t="shared" si="6"/>
        <v>48743.011312803894</v>
      </c>
      <c r="G53" s="109">
        <f t="shared" si="7"/>
        <v>11686.900826580226</v>
      </c>
      <c r="H53" s="102">
        <v>44</v>
      </c>
      <c r="I53" s="102">
        <f t="shared" si="2"/>
        <v>44</v>
      </c>
      <c r="J53" s="102">
        <f t="shared" si="3"/>
        <v>44</v>
      </c>
    </row>
    <row r="54" s="26" customFormat="1" ht="24.75" customHeight="1">
      <c r="A54" s="95">
        <v>12</v>
      </c>
      <c r="B54" s="105" t="s">
        <v>34</v>
      </c>
      <c r="C54" s="117" t="s">
        <v>80</v>
      </c>
      <c r="D54" s="95"/>
      <c r="E54" s="72">
        <f>10234145.619999999+30730341.600000001+125000</f>
        <v>41089487.219999999</v>
      </c>
      <c r="F54" s="102" t="s">
        <v>18</v>
      </c>
      <c r="G54" s="102" t="s">
        <v>18</v>
      </c>
      <c r="H54" s="102" t="s">
        <v>18</v>
      </c>
      <c r="I54" s="102" t="s">
        <v>18</v>
      </c>
      <c r="J54" s="102" t="s">
        <v>18</v>
      </c>
      <c r="K54" s="40">
        <f>E55*H55+E56*H56+E58*H58</f>
        <v>41089487.219999999</v>
      </c>
    </row>
    <row r="55" s="26" customFormat="1" ht="86.25" customHeight="1">
      <c r="A55" s="95"/>
      <c r="B55" s="105"/>
      <c r="C55" s="97" t="s">
        <v>36</v>
      </c>
      <c r="D55" s="95" t="s">
        <v>37</v>
      </c>
      <c r="E55" s="99">
        <f>K55</f>
        <v>164357.94887999998</v>
      </c>
      <c r="F55" s="109">
        <f t="shared" ref="F55:F58" si="8">29484056.600000001/250</f>
        <v>117936.2264</v>
      </c>
      <c r="G55" s="101">
        <f t="shared" ref="G55:G58" si="9">4125412.5/250</f>
        <v>16501.650000000001</v>
      </c>
      <c r="H55" s="102">
        <v>105</v>
      </c>
      <c r="I55" s="102">
        <f t="shared" si="2"/>
        <v>105</v>
      </c>
      <c r="J55" s="102">
        <f t="shared" si="3"/>
        <v>105</v>
      </c>
      <c r="K55" s="34">
        <f>E54/(H55+H56+H58)</f>
        <v>164357.94887999998</v>
      </c>
    </row>
    <row r="56" s="26" customFormat="1" ht="75.75" customHeight="1">
      <c r="A56" s="95"/>
      <c r="B56" s="105"/>
      <c r="C56" s="97" t="s">
        <v>38</v>
      </c>
      <c r="D56" s="95" t="s">
        <v>39</v>
      </c>
      <c r="E56" s="99">
        <f t="shared" ref="E56:E57" si="10">K55</f>
        <v>164357.94887999998</v>
      </c>
      <c r="F56" s="109">
        <f t="shared" si="8"/>
        <v>117936.2264</v>
      </c>
      <c r="G56" s="101">
        <f t="shared" si="9"/>
        <v>16501.650000000001</v>
      </c>
      <c r="H56" s="102">
        <v>122</v>
      </c>
      <c r="I56" s="102">
        <f t="shared" si="2"/>
        <v>122</v>
      </c>
      <c r="J56" s="102">
        <f t="shared" si="3"/>
        <v>122</v>
      </c>
    </row>
    <row r="57" s="26" customFormat="1" ht="104.25" customHeight="1">
      <c r="A57" s="95"/>
      <c r="B57" s="105"/>
      <c r="C57" s="97" t="s">
        <v>43</v>
      </c>
      <c r="D57" s="95" t="s">
        <v>47</v>
      </c>
      <c r="E57" s="99">
        <f t="shared" si="10"/>
        <v>0</v>
      </c>
      <c r="F57" s="109">
        <f t="shared" si="8"/>
        <v>117936.2264</v>
      </c>
      <c r="G57" s="101">
        <f t="shared" si="9"/>
        <v>16501.650000000001</v>
      </c>
      <c r="H57" s="102">
        <v>0</v>
      </c>
      <c r="I57" s="102">
        <v>0</v>
      </c>
      <c r="J57" s="102">
        <v>0</v>
      </c>
    </row>
    <row r="58" s="26" customFormat="1" ht="69">
      <c r="A58" s="95"/>
      <c r="B58" s="105"/>
      <c r="C58" s="97" t="s">
        <v>40</v>
      </c>
      <c r="D58" s="95" t="s">
        <v>41</v>
      </c>
      <c r="E58" s="99">
        <f>K55</f>
        <v>164357.94887999998</v>
      </c>
      <c r="F58" s="109">
        <f t="shared" si="8"/>
        <v>117936.2264</v>
      </c>
      <c r="G58" s="101">
        <f t="shared" si="9"/>
        <v>16501.650000000001</v>
      </c>
      <c r="H58" s="102">
        <v>23</v>
      </c>
      <c r="I58" s="102">
        <f t="shared" si="2"/>
        <v>23</v>
      </c>
      <c r="J58" s="102">
        <f t="shared" si="3"/>
        <v>23</v>
      </c>
    </row>
    <row r="59" s="26" customFormat="1" hidden="1">
      <c r="A59" s="95"/>
      <c r="B59" s="105"/>
      <c r="C59" s="97" t="s">
        <v>48</v>
      </c>
      <c r="D59" s="95" t="s">
        <v>49</v>
      </c>
      <c r="E59" s="119"/>
      <c r="F59" s="100">
        <v>0</v>
      </c>
      <c r="G59" s="109"/>
      <c r="H59" s="108">
        <v>0</v>
      </c>
      <c r="I59" s="108">
        <v>0</v>
      </c>
      <c r="J59" s="108">
        <v>0</v>
      </c>
    </row>
    <row r="60" s="26" customFormat="1" ht="17.25">
      <c r="A60" s="95">
        <v>13</v>
      </c>
      <c r="B60" s="105" t="s">
        <v>34</v>
      </c>
      <c r="C60" s="117" t="s">
        <v>81</v>
      </c>
      <c r="D60" s="95"/>
      <c r="E60" s="72">
        <f>9720403.7200000007+29902434.649999999+125000</f>
        <v>39747838.369999997</v>
      </c>
      <c r="F60" s="102" t="s">
        <v>18</v>
      </c>
      <c r="G60" s="102" t="s">
        <v>18</v>
      </c>
      <c r="H60" s="102" t="s">
        <v>18</v>
      </c>
      <c r="I60" s="102" t="s">
        <v>18</v>
      </c>
      <c r="J60" s="102" t="s">
        <v>18</v>
      </c>
      <c r="K60" s="40">
        <f>E61*H61+E62*H62+E63*H63+E64*H64</f>
        <v>39747838.369999997</v>
      </c>
    </row>
    <row r="61" s="26" customFormat="1" ht="81" customHeight="1">
      <c r="A61" s="95"/>
      <c r="B61" s="105"/>
      <c r="C61" s="97" t="s">
        <v>36</v>
      </c>
      <c r="D61" s="95" t="s">
        <v>37</v>
      </c>
      <c r="E61" s="99">
        <f>K61</f>
        <v>74573.805572232639</v>
      </c>
      <c r="F61" s="109">
        <f t="shared" ref="F61:F64" si="11">27573108.649999999/533</f>
        <v>51731.911163227014</v>
      </c>
      <c r="G61" s="101">
        <f t="shared" ref="G61:G64" si="12">5466776.75/533</f>
        <v>10256.61679174484</v>
      </c>
      <c r="H61" s="102">
        <v>195</v>
      </c>
      <c r="I61" s="102">
        <f t="shared" si="2"/>
        <v>195</v>
      </c>
      <c r="J61" s="102">
        <f t="shared" si="3"/>
        <v>195</v>
      </c>
      <c r="K61" s="34">
        <f>E60/(H61+H62+H63+H64)</f>
        <v>74573.805572232639</v>
      </c>
    </row>
    <row r="62" s="26" customFormat="1" ht="84" customHeight="1">
      <c r="A62" s="95"/>
      <c r="B62" s="105"/>
      <c r="C62" s="97" t="s">
        <v>38</v>
      </c>
      <c r="D62" s="95" t="s">
        <v>39</v>
      </c>
      <c r="E62" s="99">
        <f>K61</f>
        <v>74573.805572232639</v>
      </c>
      <c r="F62" s="109">
        <f t="shared" si="11"/>
        <v>51731.911163227014</v>
      </c>
      <c r="G62" s="101">
        <f t="shared" si="12"/>
        <v>10256.61679174484</v>
      </c>
      <c r="H62" s="102">
        <v>294</v>
      </c>
      <c r="I62" s="102">
        <f t="shared" si="2"/>
        <v>294</v>
      </c>
      <c r="J62" s="102">
        <f t="shared" si="3"/>
        <v>294</v>
      </c>
    </row>
    <row r="63" s="26" customFormat="1" ht="103.5" customHeight="1">
      <c r="A63" s="95"/>
      <c r="B63" s="105"/>
      <c r="C63" s="97" t="s">
        <v>43</v>
      </c>
      <c r="D63" s="95" t="s">
        <v>44</v>
      </c>
      <c r="E63" s="99">
        <f>K61</f>
        <v>74573.805572232639</v>
      </c>
      <c r="F63" s="109">
        <f t="shared" si="11"/>
        <v>51731.911163227014</v>
      </c>
      <c r="G63" s="101">
        <f t="shared" si="12"/>
        <v>10256.61679174484</v>
      </c>
      <c r="H63" s="102">
        <v>0</v>
      </c>
      <c r="I63" s="102">
        <v>0</v>
      </c>
      <c r="J63" s="102">
        <v>0</v>
      </c>
    </row>
    <row r="64" s="26" customFormat="1" ht="69">
      <c r="A64" s="95"/>
      <c r="B64" s="105"/>
      <c r="C64" s="97" t="s">
        <v>40</v>
      </c>
      <c r="D64" s="95" t="s">
        <v>41</v>
      </c>
      <c r="E64" s="99">
        <f>K61</f>
        <v>74573.805572232639</v>
      </c>
      <c r="F64" s="109">
        <f t="shared" si="11"/>
        <v>51731.911163227014</v>
      </c>
      <c r="G64" s="101">
        <f t="shared" si="12"/>
        <v>10256.61679174484</v>
      </c>
      <c r="H64" s="102">
        <v>44</v>
      </c>
      <c r="I64" s="102">
        <f t="shared" si="2"/>
        <v>44</v>
      </c>
      <c r="J64" s="102">
        <f t="shared" si="3"/>
        <v>44</v>
      </c>
    </row>
    <row r="65" s="26" customFormat="1" hidden="1">
      <c r="A65" s="95"/>
      <c r="B65" s="105"/>
      <c r="C65" s="97" t="s">
        <v>48</v>
      </c>
      <c r="D65" s="95" t="s">
        <v>49</v>
      </c>
      <c r="E65" s="99">
        <v>11615.774361702128</v>
      </c>
      <c r="F65" s="100">
        <v>0</v>
      </c>
      <c r="G65" s="109">
        <v>4965.8877507598791</v>
      </c>
      <c r="H65" s="108">
        <v>0</v>
      </c>
      <c r="I65" s="108">
        <v>0</v>
      </c>
      <c r="J65" s="108">
        <v>0</v>
      </c>
    </row>
    <row r="66" s="26" customFormat="1">
      <c r="A66" s="95">
        <v>14</v>
      </c>
      <c r="B66" s="105" t="s">
        <v>34</v>
      </c>
      <c r="C66" s="117" t="s">
        <v>82</v>
      </c>
      <c r="D66" s="95"/>
      <c r="E66" s="72">
        <f>3802942.9500000002+5526581.5+1450214+250000</f>
        <v>11029738.449999999</v>
      </c>
      <c r="F66" s="102" t="s">
        <v>18</v>
      </c>
      <c r="G66" s="102" t="s">
        <v>18</v>
      </c>
      <c r="H66" s="102" t="s">
        <v>18</v>
      </c>
      <c r="I66" s="102" t="s">
        <v>18</v>
      </c>
      <c r="J66" s="102" t="s">
        <v>18</v>
      </c>
      <c r="K66" s="40"/>
    </row>
    <row r="67" s="26" customFormat="1" ht="45.75" customHeight="1">
      <c r="A67" s="95"/>
      <c r="B67" s="105"/>
      <c r="C67" s="97" t="s">
        <v>36</v>
      </c>
      <c r="D67" s="95" t="s">
        <v>37</v>
      </c>
      <c r="E67" s="99">
        <f>K67</f>
        <v>172339.66328124999</v>
      </c>
      <c r="F67" s="100">
        <f t="shared" ref="F67:F68" si="13">(5104071.5)/64</f>
        <v>79751.1171875</v>
      </c>
      <c r="G67" s="101">
        <f t="shared" ref="G67:G68" si="14">1717347.9299999999/64</f>
        <v>26833.561406249999</v>
      </c>
      <c r="H67" s="102">
        <v>31</v>
      </c>
      <c r="I67" s="102">
        <f t="shared" si="2"/>
        <v>31</v>
      </c>
      <c r="J67" s="102">
        <f t="shared" si="3"/>
        <v>31</v>
      </c>
      <c r="K67" s="34">
        <f>E66/(H67+H68)</f>
        <v>172339.66328124999</v>
      </c>
    </row>
    <row r="68" s="26" customFormat="1" ht="85.5" customHeight="1">
      <c r="A68" s="95"/>
      <c r="B68" s="105"/>
      <c r="C68" s="97" t="s">
        <v>38</v>
      </c>
      <c r="D68" s="95" t="s">
        <v>39</v>
      </c>
      <c r="E68" s="99">
        <f>K67</f>
        <v>172339.66328124999</v>
      </c>
      <c r="F68" s="100">
        <f t="shared" si="13"/>
        <v>79751.1171875</v>
      </c>
      <c r="G68" s="101">
        <f t="shared" si="14"/>
        <v>26833.561406249999</v>
      </c>
      <c r="H68" s="102">
        <v>33</v>
      </c>
      <c r="I68" s="102">
        <f t="shared" si="2"/>
        <v>33</v>
      </c>
      <c r="J68" s="102">
        <f t="shared" si="3"/>
        <v>33</v>
      </c>
    </row>
    <row r="69" s="26" customFormat="1" ht="21" customHeight="1">
      <c r="A69" s="95"/>
      <c r="B69" s="105"/>
      <c r="C69" s="120"/>
      <c r="D69" s="120"/>
      <c r="E69" s="103"/>
      <c r="F69" s="100"/>
      <c r="G69" s="100"/>
      <c r="H69" s="108"/>
      <c r="I69" s="108"/>
      <c r="J69" s="108"/>
    </row>
    <row r="70" s="26" customFormat="1" ht="20.25" customHeight="1">
      <c r="A70" s="95"/>
      <c r="B70" s="105" t="s">
        <v>34</v>
      </c>
      <c r="C70" s="121" t="s">
        <v>53</v>
      </c>
      <c r="D70" s="121"/>
      <c r="E70" s="72">
        <f>E40+E44+E49+E54+E60+E66</f>
        <v>287590576.63999993</v>
      </c>
      <c r="F70" s="100"/>
      <c r="G70" s="100"/>
      <c r="H70" s="108"/>
      <c r="I70" s="108"/>
      <c r="J70" s="108"/>
      <c r="K70" s="69"/>
      <c r="L70" s="70"/>
      <c r="N70" s="40"/>
    </row>
    <row r="71" s="26" customFormat="1" ht="17.25" customHeight="1">
      <c r="A71" s="95"/>
      <c r="B71" s="105"/>
      <c r="C71" s="105"/>
      <c r="D71" s="71"/>
      <c r="E71" s="72"/>
      <c r="F71" s="71"/>
      <c r="G71" s="71"/>
      <c r="H71" s="108"/>
      <c r="I71" s="108"/>
      <c r="J71" s="108"/>
      <c r="K71" s="40"/>
    </row>
    <row r="72" s="26" customFormat="1">
      <c r="A72" s="95">
        <v>15</v>
      </c>
      <c r="B72" s="105" t="s">
        <v>54</v>
      </c>
      <c r="C72" s="118" t="s">
        <v>55</v>
      </c>
      <c r="D72" s="91"/>
      <c r="E72" s="72">
        <v>17756914.870000001</v>
      </c>
      <c r="F72" s="102" t="s">
        <v>18</v>
      </c>
      <c r="G72" s="102" t="s">
        <v>18</v>
      </c>
      <c r="H72" s="102" t="s">
        <v>18</v>
      </c>
      <c r="I72" s="102" t="s">
        <v>18</v>
      </c>
      <c r="J72" s="102" t="s">
        <v>18</v>
      </c>
      <c r="K72" s="40"/>
    </row>
    <row r="73" s="26" customFormat="1">
      <c r="A73" s="95"/>
      <c r="B73" s="105"/>
      <c r="C73" s="97" t="s">
        <v>56</v>
      </c>
      <c r="D73" s="95" t="s">
        <v>57</v>
      </c>
      <c r="E73" s="99">
        <v>40820.493953999998</v>
      </c>
      <c r="F73" s="109">
        <f>16143307/435</f>
        <v>37111.050574712644</v>
      </c>
      <c r="G73" s="109">
        <f>1613607.8700000001/435</f>
        <v>3709.4433793103449</v>
      </c>
      <c r="H73" s="102">
        <v>435</v>
      </c>
      <c r="I73" s="102">
        <f t="shared" si="2"/>
        <v>435</v>
      </c>
      <c r="J73" s="102">
        <f t="shared" si="3"/>
        <v>435</v>
      </c>
      <c r="K73" s="122"/>
      <c r="L73" s="70"/>
      <c r="N73" s="40"/>
    </row>
    <row r="74" s="26" customFormat="1" ht="19.5" hidden="1" customHeight="1">
      <c r="A74" s="95"/>
      <c r="B74" s="105" t="s">
        <v>54</v>
      </c>
      <c r="C74" s="123" t="s">
        <v>58</v>
      </c>
      <c r="D74" s="123"/>
      <c r="E74" s="117"/>
      <c r="F74" s="124"/>
      <c r="G74" s="124"/>
      <c r="H74" s="108"/>
      <c r="I74" s="108"/>
      <c r="J74" s="108"/>
    </row>
    <row r="75" s="18" customFormat="1" hidden="1">
      <c r="A75" s="125" t="s">
        <v>59</v>
      </c>
      <c r="B75" s="125"/>
      <c r="C75" s="125"/>
      <c r="D75" s="125"/>
      <c r="E75" s="125"/>
      <c r="F75" s="91" t="s">
        <v>18</v>
      </c>
      <c r="G75" s="91" t="s">
        <v>18</v>
      </c>
      <c r="H75" s="91" t="s">
        <v>18</v>
      </c>
      <c r="I75" s="91" t="s">
        <v>18</v>
      </c>
      <c r="J75" s="91" t="s">
        <v>18</v>
      </c>
    </row>
    <row r="76" s="18" customFormat="1" hidden="1">
      <c r="A76" s="125" t="s">
        <v>60</v>
      </c>
      <c r="B76" s="125"/>
      <c r="C76" s="125"/>
      <c r="D76" s="125"/>
      <c r="E76" s="125"/>
      <c r="F76" s="91" t="s">
        <v>18</v>
      </c>
      <c r="G76" s="91" t="s">
        <v>18</v>
      </c>
      <c r="H76" s="91" t="s">
        <v>18</v>
      </c>
      <c r="I76" s="91" t="s">
        <v>18</v>
      </c>
      <c r="J76" s="91" t="s">
        <v>18</v>
      </c>
    </row>
    <row r="77" s="26" customFormat="1" ht="86.25" customHeight="1">
      <c r="A77" s="95"/>
      <c r="B77" s="105" t="s">
        <v>83</v>
      </c>
      <c r="C77" s="126" t="s">
        <v>84</v>
      </c>
      <c r="D77" s="95"/>
      <c r="E77" s="127">
        <v>15372612.9</v>
      </c>
      <c r="F77" s="109"/>
      <c r="G77" s="109"/>
      <c r="H77" s="102"/>
      <c r="I77" s="102"/>
      <c r="J77" s="102"/>
      <c r="K77" s="116">
        <f>(E78*H78)+(E79*H79)</f>
        <v>15372612.899999999</v>
      </c>
      <c r="L77" s="70"/>
      <c r="N77" s="40"/>
    </row>
    <row r="78" s="26" customFormat="1" ht="86.25" customHeight="1">
      <c r="A78" s="95"/>
      <c r="B78" s="105" t="s">
        <v>83</v>
      </c>
      <c r="C78" s="97" t="s">
        <v>85</v>
      </c>
      <c r="D78" s="95" t="s">
        <v>86</v>
      </c>
      <c r="E78" s="99">
        <f>K78</f>
        <v>265045.04999999999</v>
      </c>
      <c r="F78" s="109">
        <f t="shared" ref="F78:F79" si="15">8444202/58</f>
        <v>145589.68965517241</v>
      </c>
      <c r="G78" s="109">
        <f t="shared" ref="G78:G79" si="16">5327600.9000000004/58</f>
        <v>91855.187931034496</v>
      </c>
      <c r="H78" s="102">
        <v>27</v>
      </c>
      <c r="I78" s="102">
        <f t="shared" si="2"/>
        <v>27</v>
      </c>
      <c r="J78" s="102">
        <f t="shared" si="3"/>
        <v>27</v>
      </c>
      <c r="K78" s="107">
        <f>E77/(H78+H79)</f>
        <v>265045.04999999999</v>
      </c>
      <c r="L78" s="70"/>
      <c r="N78" s="40"/>
    </row>
    <row r="79" s="26" customFormat="1" ht="86.25" customHeight="1">
      <c r="A79" s="95"/>
      <c r="B79" s="105" t="s">
        <v>83</v>
      </c>
      <c r="C79" s="97" t="s">
        <v>85</v>
      </c>
      <c r="D79" s="95" t="s">
        <v>87</v>
      </c>
      <c r="E79" s="99">
        <f>K78</f>
        <v>265045.04999999999</v>
      </c>
      <c r="F79" s="109">
        <f t="shared" si="15"/>
        <v>145589.68965517241</v>
      </c>
      <c r="G79" s="109">
        <f t="shared" si="16"/>
        <v>91855.187931034496</v>
      </c>
      <c r="H79" s="102">
        <v>31</v>
      </c>
      <c r="I79" s="102">
        <f t="shared" si="2"/>
        <v>31</v>
      </c>
      <c r="J79" s="102">
        <f t="shared" si="3"/>
        <v>31</v>
      </c>
      <c r="K79" s="122"/>
      <c r="L79" s="70"/>
      <c r="N79" s="40"/>
    </row>
    <row r="80" s="2" customFormat="1"/>
  </sheetData>
  <mergeCells count="17">
    <mergeCell ref="G2:J2"/>
    <mergeCell ref="G3:J3"/>
    <mergeCell ref="B4:G4"/>
    <mergeCell ref="A6:J6"/>
    <mergeCell ref="A8:A9"/>
    <mergeCell ref="B8:B9"/>
    <mergeCell ref="C8:C9"/>
    <mergeCell ref="D8:D9"/>
    <mergeCell ref="E8:E9"/>
    <mergeCell ref="F8:G8"/>
    <mergeCell ref="H8:J8"/>
    <mergeCell ref="C39:D39"/>
    <mergeCell ref="C69:D69"/>
    <mergeCell ref="C70:D70"/>
    <mergeCell ref="C74:D74"/>
    <mergeCell ref="A75:E75"/>
    <mergeCell ref="A76:E76"/>
  </mergeCells>
  <hyperlinks>
    <hyperlink location="Par866" ref="C14"/>
    <hyperlink location="Par866" ref="C17"/>
    <hyperlink location="Par866" ref="C21"/>
    <hyperlink location="Par866" ref="C25"/>
    <hyperlink location="Par866" ref="C29"/>
    <hyperlink location="Par866" ref="C33"/>
    <hyperlink location="Par866" ref="C37"/>
  </hyperlinks>
  <printOptions headings="0" gridLines="0"/>
  <pageMargins left="0.78740199999999982" right="0.59055100000000005" top="1.1811020000000001" bottom="0.59055100000000005" header="0" footer="0"/>
  <pageSetup paperSize="9" scale="80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created xsi:type="dcterms:W3CDTF">2006-09-28T05:33:00Z</dcterms:created>
  <dcterms:modified xsi:type="dcterms:W3CDTF">2024-06-18T06:18:48Z</dcterms:modified>
  <cp:version>1048576</cp:version>
</cp:coreProperties>
</file>