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0" yWindow="0" windowWidth="21840" windowHeight="11730"/>
  </bookViews>
  <sheets>
    <sheet name="2-П СВОД" sheetId="6" r:id="rId1"/>
  </sheets>
  <definedNames>
    <definedName name="_xlnm.Print_Titles" localSheetId="0">'2-П СВОД'!$6:$8</definedName>
    <definedName name="_xlnm.Print_Area" localSheetId="0">'2-П СВОД'!$A$1:$M$132</definedName>
  </definedNames>
  <calcPr calcId="144525" iterateDelta="1E-4"/>
</workbook>
</file>

<file path=xl/calcChain.xml><?xml version="1.0" encoding="utf-8"?>
<calcChain xmlns="http://schemas.openxmlformats.org/spreadsheetml/2006/main">
  <c r="M93" i="6" l="1"/>
  <c r="L93" i="6"/>
  <c r="L88" i="6" s="1"/>
  <c r="K93" i="6"/>
  <c r="K88" i="6" s="1"/>
  <c r="J93" i="6"/>
  <c r="J88" i="6" s="1"/>
  <c r="G91" i="6"/>
  <c r="M88" i="6"/>
  <c r="I88" i="6"/>
  <c r="H88" i="6"/>
  <c r="G88" i="6"/>
  <c r="F88" i="6"/>
  <c r="E88" i="6"/>
  <c r="M74" i="6"/>
  <c r="M73" i="6" s="1"/>
  <c r="L74" i="6"/>
  <c r="L73" i="6" s="1"/>
  <c r="K74" i="6"/>
  <c r="J74" i="6"/>
  <c r="J73" i="6" s="1"/>
  <c r="I74" i="6"/>
  <c r="I73" i="6" s="1"/>
  <c r="H74" i="6"/>
  <c r="H73" i="6" s="1"/>
  <c r="G74" i="6"/>
  <c r="G73" i="6" s="1"/>
  <c r="G102" i="6" s="1"/>
  <c r="F74" i="6"/>
  <c r="F73" i="6" s="1"/>
  <c r="F102" i="6" s="1"/>
  <c r="E74" i="6"/>
  <c r="E73" i="6" s="1"/>
  <c r="E102" i="6" s="1"/>
  <c r="K73" i="6"/>
  <c r="K102" i="6" s="1"/>
  <c r="I102" i="6" l="1"/>
  <c r="J102" i="6"/>
  <c r="L102" i="6"/>
  <c r="M102" i="6"/>
  <c r="H102" i="6"/>
  <c r="F125" i="6"/>
  <c r="G125" i="6"/>
  <c r="G119" i="6"/>
  <c r="G118" i="6" s="1"/>
  <c r="F116" i="6"/>
  <c r="G116" i="6" s="1"/>
  <c r="I116" i="6" s="1"/>
  <c r="K116" i="6" s="1"/>
  <c r="M116" i="6" s="1"/>
  <c r="F115" i="6"/>
  <c r="G111" i="6"/>
  <c r="H111" i="6" s="1"/>
  <c r="J111" i="6" s="1"/>
  <c r="L111" i="6" s="1"/>
  <c r="G110" i="6"/>
  <c r="G40" i="6"/>
  <c r="M40" i="6" s="1"/>
  <c r="I11" i="6"/>
  <c r="H11" i="6"/>
  <c r="J11" i="6" s="1"/>
  <c r="F33" i="6"/>
  <c r="E125" i="6"/>
  <c r="E118" i="6"/>
  <c r="I126" i="6"/>
  <c r="H126" i="6"/>
  <c r="I114" i="6"/>
  <c r="K114" i="6" s="1"/>
  <c r="M114" i="6" s="1"/>
  <c r="H114" i="6"/>
  <c r="J114" i="6" s="1"/>
  <c r="L114" i="6" s="1"/>
  <c r="G115" i="6"/>
  <c r="H115" i="6" s="1"/>
  <c r="J115" i="6" s="1"/>
  <c r="I121" i="6"/>
  <c r="K121" i="6" s="1"/>
  <c r="M121" i="6" s="1"/>
  <c r="H121" i="6"/>
  <c r="J121" i="6" s="1"/>
  <c r="L121" i="6" s="1"/>
  <c r="K120" i="6"/>
  <c r="J120" i="6"/>
  <c r="H58" i="6"/>
  <c r="J58" i="6" s="1"/>
  <c r="L58" i="6" s="1"/>
  <c r="I55" i="6"/>
  <c r="K55" i="6" s="1"/>
  <c r="M55" i="6" s="1"/>
  <c r="H55" i="6"/>
  <c r="J55" i="6" s="1"/>
  <c r="L55" i="6" s="1"/>
  <c r="I54" i="6"/>
  <c r="K54" i="6" s="1"/>
  <c r="M54" i="6" s="1"/>
  <c r="H54" i="6"/>
  <c r="J54" i="6" s="1"/>
  <c r="L54" i="6" s="1"/>
  <c r="G50" i="6"/>
  <c r="H50" i="6" s="1"/>
  <c r="I50" i="6" s="1"/>
  <c r="K50" i="6" s="1"/>
  <c r="M50" i="6" s="1"/>
  <c r="H125" i="6" l="1"/>
  <c r="I125" i="6"/>
  <c r="J126" i="6"/>
  <c r="L126" i="6" s="1"/>
  <c r="L125" i="6" s="1"/>
  <c r="K126" i="6"/>
  <c r="K125" i="6" s="1"/>
  <c r="H40" i="6"/>
  <c r="L40" i="6"/>
  <c r="K40" i="6"/>
  <c r="I40" i="6"/>
  <c r="J40" i="6"/>
  <c r="F118" i="6"/>
  <c r="H116" i="6"/>
  <c r="J116" i="6" s="1"/>
  <c r="L116" i="6" s="1"/>
  <c r="H110" i="6"/>
  <c r="J110" i="6" s="1"/>
  <c r="L110" i="6" s="1"/>
  <c r="I110" i="6"/>
  <c r="K110" i="6" s="1"/>
  <c r="M110" i="6" s="1"/>
  <c r="I115" i="6"/>
  <c r="I111" i="6"/>
  <c r="K111" i="6" s="1"/>
  <c r="M111" i="6" s="1"/>
  <c r="J50" i="6"/>
  <c r="L50" i="6" s="1"/>
  <c r="I119" i="6"/>
  <c r="K119" i="6" s="1"/>
  <c r="M119" i="6" s="1"/>
  <c r="M118" i="6" s="1"/>
  <c r="H119" i="6"/>
  <c r="J119" i="6" s="1"/>
  <c r="L119" i="6" s="1"/>
  <c r="L118" i="6" s="1"/>
  <c r="H118" i="6"/>
  <c r="I58" i="6"/>
  <c r="K58" i="6" s="1"/>
  <c r="M58" i="6" s="1"/>
  <c r="G47" i="6"/>
  <c r="I47" i="6" s="1"/>
  <c r="K47" i="6" s="1"/>
  <c r="M47" i="6" s="1"/>
  <c r="I43" i="6"/>
  <c r="K43" i="6" s="1"/>
  <c r="M43" i="6" s="1"/>
  <c r="H43" i="6"/>
  <c r="J43" i="6" s="1"/>
  <c r="L43" i="6" s="1"/>
  <c r="G33" i="6"/>
  <c r="G25" i="6"/>
  <c r="I25" i="6" s="1"/>
  <c r="K25" i="6" s="1"/>
  <c r="M25" i="6" s="1"/>
  <c r="H20" i="6"/>
  <c r="J20" i="6" s="1"/>
  <c r="L20" i="6" s="1"/>
  <c r="G20" i="6"/>
  <c r="I20" i="6" s="1"/>
  <c r="K20" i="6" s="1"/>
  <c r="M20" i="6" s="1"/>
  <c r="I18" i="6"/>
  <c r="K18" i="6" s="1"/>
  <c r="M18" i="6" s="1"/>
  <c r="H18" i="6"/>
  <c r="J18" i="6" s="1"/>
  <c r="L18" i="6" s="1"/>
  <c r="I16" i="6"/>
  <c r="K16" i="6" s="1"/>
  <c r="M16" i="6" s="1"/>
  <c r="H16" i="6"/>
  <c r="J16" i="6" s="1"/>
  <c r="L16" i="6" s="1"/>
  <c r="I15" i="6"/>
  <c r="K15" i="6" s="1"/>
  <c r="H15" i="6"/>
  <c r="J15" i="6" s="1"/>
  <c r="I14" i="6"/>
  <c r="K14" i="6" s="1"/>
  <c r="M14" i="6" s="1"/>
  <c r="H14" i="6"/>
  <c r="J14" i="6" s="1"/>
  <c r="L14" i="6" s="1"/>
  <c r="I13" i="6"/>
  <c r="K13" i="6" s="1"/>
  <c r="M13" i="6" s="1"/>
  <c r="H13" i="6"/>
  <c r="J13" i="6" s="1"/>
  <c r="L13" i="6" s="1"/>
  <c r="I12" i="6"/>
  <c r="K12" i="6" s="1"/>
  <c r="M12" i="6" s="1"/>
  <c r="H12" i="6"/>
  <c r="J12" i="6" s="1"/>
  <c r="L12" i="6" s="1"/>
  <c r="K11" i="6"/>
  <c r="M11" i="6" s="1"/>
  <c r="L11" i="6"/>
  <c r="M126" i="6" l="1"/>
  <c r="M125" i="6" s="1"/>
  <c r="I33" i="6"/>
  <c r="H33" i="6"/>
  <c r="J125" i="6"/>
  <c r="K118" i="6"/>
  <c r="I118" i="6"/>
  <c r="H25" i="6"/>
  <c r="J25" i="6" s="1"/>
  <c r="L25" i="6" s="1"/>
  <c r="K115" i="6"/>
  <c r="M115" i="6" s="1"/>
  <c r="L115" i="6"/>
  <c r="J118" i="6"/>
  <c r="J33" i="6"/>
  <c r="L33" i="6" s="1"/>
  <c r="K33" i="6"/>
  <c r="M33" i="6" s="1"/>
  <c r="H47" i="6"/>
  <c r="J47" i="6" s="1"/>
  <c r="L47" i="6" s="1"/>
  <c r="K17" i="6"/>
  <c r="M15" i="6"/>
  <c r="M17" i="6" s="1"/>
  <c r="J17" i="6"/>
  <c r="L15" i="6"/>
  <c r="L17" i="6" s="1"/>
  <c r="I17" i="6"/>
  <c r="H17" i="6"/>
</calcChain>
</file>

<file path=xl/sharedStrings.xml><?xml version="1.0" encoding="utf-8"?>
<sst xmlns="http://schemas.openxmlformats.org/spreadsheetml/2006/main" count="629" uniqueCount="277">
  <si>
    <t>Показатели</t>
  </si>
  <si>
    <t>Единица измерения</t>
  </si>
  <si>
    <t>отчет *</t>
  </si>
  <si>
    <t>оценка показателя</t>
  </si>
  <si>
    <t>консервативный</t>
  </si>
  <si>
    <t>прогноз</t>
  </si>
  <si>
    <t>Население</t>
  </si>
  <si>
    <t>1.1</t>
  </si>
  <si>
    <t>Численность населения (в среднегодовом исчислении)</t>
  </si>
  <si>
    <t>1.2</t>
  </si>
  <si>
    <t>Численность населения (на 1 января года)</t>
  </si>
  <si>
    <t>1.3</t>
  </si>
  <si>
    <t>1.4</t>
  </si>
  <si>
    <t>1.5</t>
  </si>
  <si>
    <t>1.6</t>
  </si>
  <si>
    <t>Общий коэффициент рождаемости</t>
  </si>
  <si>
    <t>1.7</t>
  </si>
  <si>
    <t>1.8</t>
  </si>
  <si>
    <t>Общий коэффициент смертности</t>
  </si>
  <si>
    <t>Коэффициент естественного прироста населения</t>
  </si>
  <si>
    <t>2.1</t>
  </si>
  <si>
    <t>2.2</t>
  </si>
  <si>
    <t>2.3</t>
  </si>
  <si>
    <t>Промышленное производство</t>
  </si>
  <si>
    <t>3.1</t>
  </si>
  <si>
    <t>3.2</t>
  </si>
  <si>
    <t>3.3</t>
  </si>
  <si>
    <t>3.4</t>
  </si>
  <si>
    <t>3.5</t>
  </si>
  <si>
    <t>Численность населения трудоспособного возраста
(на 1 января года)</t>
  </si>
  <si>
    <t>3.6</t>
  </si>
  <si>
    <t>тыс. чел.</t>
  </si>
  <si>
    <t>число родившихся живыми
на 1000 человек населения</t>
  </si>
  <si>
    <t>Численность населения старше трудоспособного возраста
(на 1 января года)</t>
  </si>
  <si>
    <t>число умерших на 1000 человек населения</t>
  </si>
  <si>
    <t>на 1000 человек населения</t>
  </si>
  <si>
    <t>% к предыдущему году
в сопоставимых ценах</t>
  </si>
  <si>
    <t>Обеспечение электрической энергией, газом и паром;
кондиционирование воздуха (раздел D)</t>
  </si>
  <si>
    <t>Добыча полезных ископаемых (раздел B)</t>
  </si>
  <si>
    <t>Обрабатывающие производства (раздел C)</t>
  </si>
  <si>
    <t>Водоснабжение; водоотведение, организация сбора и утилизации отходов, деятельность по ликвидации загрязнений (раздел E)</t>
  </si>
  <si>
    <t>Сельское хозяйство</t>
  </si>
  <si>
    <t>4.1</t>
  </si>
  <si>
    <t>Продукция сельского хозяйства</t>
  </si>
  <si>
    <t>4.2</t>
  </si>
  <si>
    <t>Индекс производства продукции сельского хозяйства</t>
  </si>
  <si>
    <t>4.3</t>
  </si>
  <si>
    <t>Продукция растениеводства</t>
  </si>
  <si>
    <t>4.4</t>
  </si>
  <si>
    <t>Индекс производства продукции растениеводства</t>
  </si>
  <si>
    <t>Продукция животноводства</t>
  </si>
  <si>
    <t>Индекс производства продукции животноводства</t>
  </si>
  <si>
    <t>Строительство</t>
  </si>
  <si>
    <t>5.1</t>
  </si>
  <si>
    <t>5.2</t>
  </si>
  <si>
    <t>Индекс физического объема работ, выполненных по виду деятельности "Строительство"</t>
  </si>
  <si>
    <t>5.3</t>
  </si>
  <si>
    <t>Индекс-дефлятор по виду деятельности "Строительство"</t>
  </si>
  <si>
    <t>% г/г</t>
  </si>
  <si>
    <t>5.4</t>
  </si>
  <si>
    <t>Ввод в действие жилых домов</t>
  </si>
  <si>
    <t>Торговля и услуги населению</t>
  </si>
  <si>
    <t>6.1</t>
  </si>
  <si>
    <t>Индекс потребительских цен на товары и услуги, на конец года</t>
  </si>
  <si>
    <t>% к декабрю
предыдущего года</t>
  </si>
  <si>
    <t>6.2</t>
  </si>
  <si>
    <t>Индекс потребительских цен на товары и услуги, в среднем за год</t>
  </si>
  <si>
    <t>6.3</t>
  </si>
  <si>
    <t>Оборот розничной торговли</t>
  </si>
  <si>
    <t>Индекс физического объема оборота розничной торговли</t>
  </si>
  <si>
    <t>Индекс-дефлятор оборота розничной торговли</t>
  </si>
  <si>
    <t>Объем платных услуг населению</t>
  </si>
  <si>
    <t>Индекс физического объема платных услуг населению</t>
  </si>
  <si>
    <t>Индекс-дефлятор объема платных услуг населению</t>
  </si>
  <si>
    <t>7.1</t>
  </si>
  <si>
    <t>7.2</t>
  </si>
  <si>
    <t>7.3</t>
  </si>
  <si>
    <t>7.4</t>
  </si>
  <si>
    <t>7.5</t>
  </si>
  <si>
    <t>Малое и среднее предпринимательство, включая микропредприятия</t>
  </si>
  <si>
    <t>8.1</t>
  </si>
  <si>
    <t>Количество малых и средних предприятий, включая микропредприятия (на конец года)</t>
  </si>
  <si>
    <t>единиц</t>
  </si>
  <si>
    <t>8.2</t>
  </si>
  <si>
    <t>Среднесписочная численность работников на предприятиях малого и среднего предпринимательства (включая микропредприятия) (без внешних совместителей)</t>
  </si>
  <si>
    <t>8.3</t>
  </si>
  <si>
    <t>Оборот малых и средних предприятий, включая микропредприятия</t>
  </si>
  <si>
    <t>Инвестиции</t>
  </si>
  <si>
    <t>9.1</t>
  </si>
  <si>
    <t>Инвестиции в основной капитал</t>
  </si>
  <si>
    <t>9.2</t>
  </si>
  <si>
    <t>Индекс физического объема инвестиций в основной капитал</t>
  </si>
  <si>
    <t>Индекс-дефлятор инвестиций в основной капитал</t>
  </si>
  <si>
    <t>9.4</t>
  </si>
  <si>
    <t>%</t>
  </si>
  <si>
    <t>9.5</t>
  </si>
  <si>
    <t>Собственные средства</t>
  </si>
  <si>
    <t>9.6</t>
  </si>
  <si>
    <t>Привлеченные средства, из них:</t>
  </si>
  <si>
    <t>кредиты банков, в том числе:</t>
  </si>
  <si>
    <t>заемные средства других организаций</t>
  </si>
  <si>
    <t>бюджетные средства, в том числе:</t>
  </si>
  <si>
    <t>федеральный бюджет</t>
  </si>
  <si>
    <t>бюджеты субъектов Российской Федерации</t>
  </si>
  <si>
    <t>из местных бюджетов</t>
  </si>
  <si>
    <t>прочие</t>
  </si>
  <si>
    <t>10.1</t>
  </si>
  <si>
    <t>10.2</t>
  </si>
  <si>
    <t>Налоговые и неналоговые доходы, всего</t>
  </si>
  <si>
    <t>10.3</t>
  </si>
  <si>
    <t>10.4</t>
  </si>
  <si>
    <t>налог на прибыль организаций</t>
  </si>
  <si>
    <t>10.5</t>
  </si>
  <si>
    <t>налог на доходы физических лиц</t>
  </si>
  <si>
    <t>10.6</t>
  </si>
  <si>
    <t>налог на добычу полезных ископаемых</t>
  </si>
  <si>
    <t>10.7</t>
  </si>
  <si>
    <t>акцизы</t>
  </si>
  <si>
    <t>налог, взимаемый в связи с применением упрощенной системы налогообложения</t>
  </si>
  <si>
    <t>налог на имущество физических лиц</t>
  </si>
  <si>
    <t>налог на имущество организаций</t>
  </si>
  <si>
    <t>налог на игорный бизнес</t>
  </si>
  <si>
    <t>транспортный налог</t>
  </si>
  <si>
    <t>земельный налог</t>
  </si>
  <si>
    <t>Неналоговые доходы</t>
  </si>
  <si>
    <t>Безвозмездные поступления всего, в том числе</t>
  </si>
  <si>
    <t>общегосударственные вопросы</t>
  </si>
  <si>
    <t>национальная оборона</t>
  </si>
  <si>
    <t>национальная экономика</t>
  </si>
  <si>
    <t>жилищно-коммунальное хозяйство</t>
  </si>
  <si>
    <t>охрана окружающей среды</t>
  </si>
  <si>
    <t>образование</t>
  </si>
  <si>
    <t>культура, кинематография</t>
  </si>
  <si>
    <t>здравоохранение</t>
  </si>
  <si>
    <t>социальная политика</t>
  </si>
  <si>
    <t>физическая культура и спорт</t>
  </si>
  <si>
    <t>средства массовой информации</t>
  </si>
  <si>
    <t>обслуживание государственного и муниципального долга</t>
  </si>
  <si>
    <t>Денежные доходы населения</t>
  </si>
  <si>
    <t>Реальные располагаемые денежные доходы населения</t>
  </si>
  <si>
    <t>Прожиточный минимум в среднем на душу населения (в среднем за год), в том числе по основным социально-демографическим группам населения:</t>
  </si>
  <si>
    <t>трудоспособного населения</t>
  </si>
  <si>
    <t>пенсионеров</t>
  </si>
  <si>
    <t>детей</t>
  </si>
  <si>
    <t>Труд и занятость</t>
  </si>
  <si>
    <t>Численность рабочей силы</t>
  </si>
  <si>
    <t>рублей</t>
  </si>
  <si>
    <t>Уровень зарегистрированной безработицы (на конец года)</t>
  </si>
  <si>
    <t>Численность безработных, зарегистрированных в государственных учреждениях службы занятости населения (на конец года)</t>
  </si>
  <si>
    <t>кредиты иностранных банков</t>
  </si>
  <si>
    <t>млн руб.</t>
  </si>
  <si>
    <t>млн рублей</t>
  </si>
  <si>
    <t>руб./мес.</t>
  </si>
  <si>
    <t>национальная безопасность и правоохранительная деятельность</t>
  </si>
  <si>
    <t>тыс. кв. м общей площади</t>
  </si>
  <si>
    <t>Инвестиции в основной капитал по источникам
финансирования (без субъектов малого и среднего предпринимательства и объема инвестиций, не наблюдаемых прямыми статистическими методами)</t>
  </si>
  <si>
    <t>Примечание:</t>
  </si>
  <si>
    <t>базовый</t>
  </si>
  <si>
    <t>тыс. человек</t>
  </si>
  <si>
    <t>иностранные трудовые мигранты</t>
  </si>
  <si>
    <t>ДЭР</t>
  </si>
  <si>
    <t>ДГиЗО</t>
  </si>
  <si>
    <t>ДФ</t>
  </si>
  <si>
    <t>Соц выплаты</t>
  </si>
  <si>
    <t>Численность населения с денежными доходами ниже прожиточного минимума</t>
  </si>
  <si>
    <t>человек</t>
  </si>
  <si>
    <t>Численность лиц, проживающих в семьях, получавших субсидии на оплату жилого помещения и коммунальных услуг (на конец отчетного периода)</t>
  </si>
  <si>
    <t>Объем предоставленных субсидий на оплату жилого помещения и коммунальных услуг</t>
  </si>
  <si>
    <t>млн.рублей</t>
  </si>
  <si>
    <t>вариант</t>
  </si>
  <si>
    <t>2023 год</t>
  </si>
  <si>
    <t>2024 год</t>
  </si>
  <si>
    <t>2025 год</t>
  </si>
  <si>
    <t>2026 год</t>
  </si>
  <si>
    <t>2027 год</t>
  </si>
  <si>
    <t>1</t>
  </si>
  <si>
    <t>2</t>
  </si>
  <si>
    <t>2.4</t>
  </si>
  <si>
    <t>2.5</t>
  </si>
  <si>
    <t>2.6</t>
  </si>
  <si>
    <t>2.7</t>
  </si>
  <si>
    <t>2.8</t>
  </si>
  <si>
    <t>2.9</t>
  </si>
  <si>
    <t>2.10</t>
  </si>
  <si>
    <t>3</t>
  </si>
  <si>
    <t>4</t>
  </si>
  <si>
    <t>5</t>
  </si>
  <si>
    <t>5.5</t>
  </si>
  <si>
    <t>5.6</t>
  </si>
  <si>
    <t>5.7</t>
  </si>
  <si>
    <t>5.8</t>
  </si>
  <si>
    <t>6</t>
  </si>
  <si>
    <t>7</t>
  </si>
  <si>
    <t>8</t>
  </si>
  <si>
    <t>8.3.1</t>
  </si>
  <si>
    <t>8.3.2</t>
  </si>
  <si>
    <t>8.3.3</t>
  </si>
  <si>
    <t>8.3.4</t>
  </si>
  <si>
    <t>8.3.5</t>
  </si>
  <si>
    <t>8.3.6</t>
  </si>
  <si>
    <t>8.3.7</t>
  </si>
  <si>
    <t>8.3.8</t>
  </si>
  <si>
    <t>8.3.9</t>
  </si>
  <si>
    <t>8.3.10</t>
  </si>
  <si>
    <t>8.4</t>
  </si>
  <si>
    <t>8.5</t>
  </si>
  <si>
    <t>8.6</t>
  </si>
  <si>
    <t>8.6.1</t>
  </si>
  <si>
    <t>8.6.2</t>
  </si>
  <si>
    <t>8.6.3</t>
  </si>
  <si>
    <t>8.6.4</t>
  </si>
  <si>
    <t>8.6.5</t>
  </si>
  <si>
    <t>8.6.6</t>
  </si>
  <si>
    <t>8.6.7</t>
  </si>
  <si>
    <t>8.6.8</t>
  </si>
  <si>
    <t>8.6.9</t>
  </si>
  <si>
    <t>8.6.10</t>
  </si>
  <si>
    <t>8.6.11</t>
  </si>
  <si>
    <t>8.6.12</t>
  </si>
  <si>
    <t>8.6.13</t>
  </si>
  <si>
    <t>8.7</t>
  </si>
  <si>
    <t>8.9</t>
  </si>
  <si>
    <t>9</t>
  </si>
  <si>
    <t>9.2.1</t>
  </si>
  <si>
    <t>9.2.2</t>
  </si>
  <si>
    <t>9.2.3</t>
  </si>
  <si>
    <t>10</t>
  </si>
  <si>
    <t>10.2.1</t>
  </si>
  <si>
    <t>10.2.2</t>
  </si>
  <si>
    <t>10.2.3</t>
  </si>
  <si>
    <t>10.2.3.1</t>
  </si>
  <si>
    <t>10.2.3.2</t>
  </si>
  <si>
    <t>Объем отгруженных товаров собственного производства, выполненных работ и услуг собственными силами (В+С+D+E)</t>
  </si>
  <si>
    <t>по видам экономической деятельности</t>
  </si>
  <si>
    <t>Индекс промышленного производства (В+С+D+E)</t>
  </si>
  <si>
    <t>Индекс промышленного производства (раздел В)</t>
  </si>
  <si>
    <t>Индекс промышленного производства (раздел C)</t>
  </si>
  <si>
    <t>Индекс промышленного производства (раздел D)</t>
  </si>
  <si>
    <t>Индекс промышленного производства (раздел Е)</t>
  </si>
  <si>
    <t>Объем работ, выполненных по виду деятельности "Строительство" (раздел F)</t>
  </si>
  <si>
    <t>7.5.1</t>
  </si>
  <si>
    <t>7.5.1.1</t>
  </si>
  <si>
    <t>7.5.2</t>
  </si>
  <si>
    <t>7.5.3</t>
  </si>
  <si>
    <t>7.5.3.1</t>
  </si>
  <si>
    <t>7.5.3.2</t>
  </si>
  <si>
    <t>7.5.3.3</t>
  </si>
  <si>
    <t>7.5.4</t>
  </si>
  <si>
    <t>Бюджет муниципального образования</t>
  </si>
  <si>
    <t>Доходы  бюджета муниципального образования</t>
  </si>
  <si>
    <t>Налоговые доходы бюджета муниципального образования всего, в том числе:</t>
  </si>
  <si>
    <t>Расходы  бюджета муниципального образования всего, в том числе по направлениям:</t>
  </si>
  <si>
    <t>Дефицит(-), профицит(+) бюджета муниципального образования, млн рублей</t>
  </si>
  <si>
    <t>Муниципальный долг муниципального образования</t>
  </si>
  <si>
    <t>№ п/п</t>
  </si>
  <si>
    <t>Номинальная начисленная среднемесячная заработная плата работников организаций (без субъектов малого предпринимательства)</t>
  </si>
  <si>
    <t>Темп роста номинальной начисленной среднемесячной заработной платы работников организаций (без субъектов малого предпринимательства)</t>
  </si>
  <si>
    <t>Реальная заработная плата работников организаций (без субъектов малого предпринимательства)</t>
  </si>
  <si>
    <t xml:space="preserve"> Миграционного прироста (убыли)</t>
  </si>
  <si>
    <t>*</t>
  </si>
  <si>
    <t>2,4р</t>
  </si>
  <si>
    <t>3р</t>
  </si>
  <si>
    <t>трудоспособное население в трудоспособном возрасте(оценка)</t>
  </si>
  <si>
    <t>пенсионеры старше трудоспособного возраста(оценка)</t>
  </si>
  <si>
    <t>численность лиц старше трудоспособного возраста и подростков, занятых в экономике, в том числе: (оценка)</t>
  </si>
  <si>
    <t>подростки моложе трудоспособного возраста (оценка)</t>
  </si>
  <si>
    <t>Численность трудовых ресурсов – всего, в том числе:(оценка)</t>
  </si>
  <si>
    <t xml:space="preserve">Утвержден  постановлением администрации Дальнереченского городского округа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</si>
  <si>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2.11</t>
  </si>
  <si>
    <t xml:space="preserve">Прибыль </t>
  </si>
  <si>
    <t>10.8</t>
  </si>
  <si>
    <t xml:space="preserve">Фонд оплаты труда </t>
  </si>
  <si>
    <t>млн. рублей</t>
  </si>
  <si>
    <t>Показатели прогноза социально-экономического развития Дальнереченского городского округа  на 2026 год и  плановый период  до 2028 года</t>
  </si>
  <si>
    <t>2028 год</t>
  </si>
  <si>
    <t>2,2р</t>
  </si>
  <si>
    <t xml:space="preserve">29.10.2025 № 1252-па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</si>
</sst>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7" x14ac:knownFonts="1">
    <font>
      <sz val="10"/>
      <name val="Arial Cyr"/>
      <charset val="204"/>
    </font>
    <font>
      <sz val="10"/>
      <name val="Times New Roman"/>
      <family val="1"/>
      <charset val="204"/>
    </font>
    <font>
      <sz val="7"/>
      <name val="Times New Roman"/>
      <family val="1"/>
      <charset val="204"/>
    </font>
    <font>
      <b/>
      <sz val="7"/>
      <name val="Times New Roman"/>
      <family val="1"/>
      <charset val="204"/>
    </font>
    <font>
      <sz val="6"/>
      <name val="Times New Roman"/>
      <family val="1"/>
      <charset val="204"/>
    </font>
    <font>
      <b/>
      <sz val="6"/>
      <name val="Times New Roman"/>
      <family val="1"/>
      <charset val="204"/>
    </font>
    <font>
      <b/>
      <sz val="8"/>
      <name val="Times New Roman"/>
      <family val="1"/>
      <charset val="204"/>
    </font>
    <font>
      <sz val="6.5"/>
      <name val="Times New Roman"/>
      <family val="1"/>
      <charset val="204"/>
    </font>
    <font>
      <b/>
      <sz val="6.5"/>
      <name val="Times New Roman"/>
      <family val="1"/>
      <charset val="204"/>
    </font>
    <font>
      <i/>
      <sz val="6.5"/>
      <name val="Times New Roman"/>
      <family val="1"/>
      <charset val="204"/>
    </font>
    <font>
      <b/>
      <sz val="10"/>
      <name val="Arial Cyr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  <font>
      <b/>
      <sz val="14"/>
      <name val="Times New Roman"/>
      <family val="1"/>
      <charset val="204"/>
    </font>
    <font>
      <sz val="6.5"/>
      <color rgb="FFFF0000"/>
      <name val="Times New Roman"/>
      <family val="1"/>
      <charset val="204"/>
    </font>
    <font>
      <sz val="6.5"/>
      <color theme="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CC00FF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79">
    <xf numFmtId="0" fontId="0" fillId="0" borderId="0" xfId="0"/>
    <xf numFmtId="0" fontId="7" fillId="0" borderId="1" xfId="0" applyFont="1" applyBorder="1" applyAlignment="1">
      <alignment horizontal="center" vertical="center" wrapText="1"/>
    </xf>
    <xf numFmtId="0" fontId="2" fillId="0" borderId="0" xfId="0" applyFont="1" applyFill="1"/>
    <xf numFmtId="0" fontId="4" fillId="0" borderId="0" xfId="0" applyFont="1" applyFill="1"/>
    <xf numFmtId="0" fontId="6" fillId="0" borderId="0" xfId="0" applyFont="1" applyFill="1"/>
    <xf numFmtId="0" fontId="5" fillId="0" borderId="0" xfId="0" applyFont="1" applyFill="1" applyAlignment="1">
      <alignment horizontal="center" vertical="center"/>
    </xf>
    <xf numFmtId="0" fontId="5" fillId="0" borderId="0" xfId="0" applyFont="1" applyFill="1" applyAlignment="1"/>
    <xf numFmtId="0" fontId="7" fillId="0" borderId="2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vertical="center" wrapText="1"/>
    </xf>
    <xf numFmtId="0" fontId="7" fillId="0" borderId="0" xfId="0" applyFont="1" applyFill="1"/>
    <xf numFmtId="0" fontId="9" fillId="0" borderId="1" xfId="0" applyFont="1" applyFill="1" applyBorder="1" applyAlignment="1">
      <alignment vertical="center" wrapText="1"/>
    </xf>
    <xf numFmtId="0" fontId="9" fillId="0" borderId="1" xfId="0" applyFont="1" applyFill="1" applyBorder="1" applyAlignment="1">
      <alignment vertical="center"/>
    </xf>
    <xf numFmtId="0" fontId="7" fillId="0" borderId="1" xfId="0" applyFont="1" applyFill="1" applyBorder="1" applyAlignment="1">
      <alignment horizontal="left" vertical="center" indent="1"/>
    </xf>
    <xf numFmtId="0" fontId="7" fillId="0" borderId="1" xfId="0" applyFont="1" applyFill="1" applyBorder="1" applyAlignment="1">
      <alignment horizontal="left" vertical="center" indent="2"/>
    </xf>
    <xf numFmtId="0" fontId="7" fillId="0" borderId="2" xfId="0" applyFont="1" applyFill="1" applyBorder="1" applyAlignment="1">
      <alignment horizontal="left" vertical="center" wrapText="1" indent="1"/>
    </xf>
    <xf numFmtId="0" fontId="1" fillId="0" borderId="0" xfId="0" applyFont="1" applyFill="1"/>
    <xf numFmtId="49" fontId="7" fillId="0" borderId="1" xfId="0" applyNumberFormat="1" applyFont="1" applyFill="1" applyBorder="1" applyAlignment="1">
      <alignment horizontal="center" vertical="center"/>
    </xf>
    <xf numFmtId="49" fontId="4" fillId="0" borderId="0" xfId="0" applyNumberFormat="1" applyFont="1" applyFill="1" applyAlignment="1">
      <alignment horizontal="center" vertical="center"/>
    </xf>
    <xf numFmtId="49" fontId="5" fillId="0" borderId="0" xfId="0" applyNumberFormat="1" applyFont="1" applyFill="1" applyAlignment="1">
      <alignment horizontal="center" vertical="center"/>
    </xf>
    <xf numFmtId="49" fontId="1" fillId="0" borderId="0" xfId="0" applyNumberFormat="1" applyFont="1" applyFill="1" applyAlignment="1">
      <alignment horizontal="center" vertical="center"/>
    </xf>
    <xf numFmtId="0" fontId="7" fillId="0" borderId="1" xfId="0" applyFont="1" applyBorder="1" applyAlignment="1">
      <alignment horizontal="justify" vertical="center" wrapText="1"/>
    </xf>
    <xf numFmtId="0" fontId="7" fillId="0" borderId="1" xfId="0" applyFont="1" applyFill="1" applyBorder="1" applyAlignment="1">
      <alignment horizontal="left" vertical="center" wrapText="1" indent="1"/>
    </xf>
    <xf numFmtId="49" fontId="7" fillId="0" borderId="1" xfId="0" applyNumberFormat="1" applyFont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0" fontId="8" fillId="2" borderId="1" xfId="0" applyFont="1" applyFill="1" applyBorder="1" applyAlignment="1">
      <alignment vertical="center"/>
    </xf>
    <xf numFmtId="0" fontId="7" fillId="2" borderId="1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 wrapText="1"/>
    </xf>
    <xf numFmtId="0" fontId="8" fillId="2" borderId="1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/>
    <xf numFmtId="0" fontId="6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3" borderId="0" xfId="0" applyFont="1" applyFill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3" fillId="4" borderId="3" xfId="0" applyFont="1" applyFill="1" applyBorder="1" applyAlignment="1">
      <alignment vertical="center"/>
    </xf>
    <xf numFmtId="0" fontId="3" fillId="5" borderId="3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left" vertical="center" wrapText="1"/>
    </xf>
    <xf numFmtId="0" fontId="3" fillId="5" borderId="0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right" vertical="center" wrapText="1"/>
    </xf>
    <xf numFmtId="4" fontId="7" fillId="0" borderId="1" xfId="0" applyNumberFormat="1" applyFont="1" applyFill="1" applyBorder="1" applyAlignment="1">
      <alignment horizontal="center" vertical="center"/>
    </xf>
    <xf numFmtId="3" fontId="7" fillId="0" borderId="1" xfId="0" applyNumberFormat="1" applyFont="1" applyFill="1" applyBorder="1" applyAlignment="1">
      <alignment horizontal="center" vertical="center"/>
    </xf>
    <xf numFmtId="164" fontId="7" fillId="0" borderId="1" xfId="0" applyNumberFormat="1" applyFont="1" applyFill="1" applyBorder="1" applyAlignment="1">
      <alignment horizontal="center" vertical="center"/>
    </xf>
    <xf numFmtId="2" fontId="7" fillId="0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0" fillId="0" borderId="0" xfId="0" applyAlignment="1">
      <alignment wrapText="1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5" fillId="2" borderId="1" xfId="0" applyFont="1" applyFill="1" applyBorder="1" applyAlignment="1">
      <alignment horizontal="center" vertical="center"/>
    </xf>
    <xf numFmtId="4" fontId="15" fillId="0" borderId="1" xfId="0" applyNumberFormat="1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164" fontId="16" fillId="0" borderId="1" xfId="0" applyNumberFormat="1" applyFont="1" applyFill="1" applyBorder="1" applyAlignment="1">
      <alignment horizontal="center" vertical="center"/>
    </xf>
    <xf numFmtId="4" fontId="7" fillId="0" borderId="2" xfId="0" applyNumberFormat="1" applyFont="1" applyFill="1" applyBorder="1" applyAlignment="1">
      <alignment horizontal="center" vertical="center"/>
    </xf>
    <xf numFmtId="2" fontId="16" fillId="0" borderId="1" xfId="0" applyNumberFormat="1" applyFont="1" applyFill="1" applyBorder="1" applyAlignment="1">
      <alignment horizontal="center" vertical="center"/>
    </xf>
    <xf numFmtId="0" fontId="12" fillId="0" borderId="0" xfId="0" applyFont="1" applyFill="1" applyAlignment="1">
      <alignment vertical="top" wrapText="1"/>
    </xf>
    <xf numFmtId="0" fontId="13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" fillId="0" borderId="0" xfId="0" applyFont="1" applyAlignment="1">
      <alignment wrapText="1"/>
    </xf>
    <xf numFmtId="0" fontId="3" fillId="5" borderId="3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left" vertical="center"/>
    </xf>
    <xf numFmtId="0" fontId="3" fillId="6" borderId="3" xfId="0" applyFont="1" applyFill="1" applyBorder="1" applyAlignment="1">
      <alignment horizontal="center" vertical="center"/>
    </xf>
    <xf numFmtId="0" fontId="3" fillId="7" borderId="3" xfId="0" applyFont="1" applyFill="1" applyBorder="1" applyAlignment="1">
      <alignment horizontal="center" vertical="center"/>
    </xf>
    <xf numFmtId="0" fontId="8" fillId="0" borderId="8" xfId="0" applyFont="1" applyFill="1" applyBorder="1" applyAlignment="1">
      <alignment horizontal="left" vertical="center"/>
    </xf>
    <xf numFmtId="0" fontId="10" fillId="0" borderId="8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/>
    </xf>
    <xf numFmtId="0" fontId="0" fillId="0" borderId="0" xfId="0" applyFill="1" applyBorder="1" applyAlignment="1"/>
    <xf numFmtId="0" fontId="14" fillId="0" borderId="0" xfId="0" applyFont="1" applyFill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7" fillId="0" borderId="4" xfId="0" applyFont="1" applyFill="1" applyBorder="1" applyAlignment="1">
      <alignment horizontal="center" vertical="center"/>
    </xf>
    <xf numFmtId="0" fontId="7" fillId="0" borderId="5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0" fontId="7" fillId="0" borderId="7" xfId="0" applyFont="1" applyFill="1" applyBorder="1" applyAlignment="1">
      <alignment horizontal="center" vertical="center"/>
    </xf>
    <xf numFmtId="49" fontId="7" fillId="0" borderId="2" xfId="0" applyNumberFormat="1" applyFont="1" applyFill="1" applyBorder="1" applyAlignment="1">
      <alignment horizontal="center" vertical="center"/>
    </xf>
    <xf numFmtId="49" fontId="7" fillId="0" borderId="6" xfId="0" applyNumberFormat="1" applyFont="1" applyFill="1" applyBorder="1" applyAlignment="1">
      <alignment horizontal="center" vertical="center"/>
    </xf>
    <xf numFmtId="49" fontId="7" fillId="0" borderId="7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31"/>
  <sheetViews>
    <sheetView tabSelected="1" topLeftCell="B1" zoomScale="130" zoomScaleNormal="130" zoomScaleSheetLayoutView="200" workbookViewId="0">
      <pane xSplit="2" ySplit="10" topLeftCell="D11" activePane="bottomRight" state="frozen"/>
      <selection activeCell="B1" sqref="B1"/>
      <selection pane="topRight" activeCell="D1" sqref="D1"/>
      <selection pane="bottomLeft" activeCell="B11" sqref="B11"/>
      <selection pane="bottomRight" activeCell="J2" sqref="J2:M2"/>
    </sheetView>
  </sheetViews>
  <sheetFormatPr defaultRowHeight="12.75" x14ac:dyDescent="0.2"/>
  <cols>
    <col min="1" max="1" width="0" style="36" hidden="1" customWidth="1"/>
    <col min="2" max="2" width="5.42578125" style="22" bestFit="1" customWidth="1"/>
    <col min="3" max="3" width="36" style="18" customWidth="1"/>
    <col min="4" max="4" width="18.85546875" style="18" customWidth="1"/>
    <col min="5" max="5" width="7.85546875" style="18" customWidth="1"/>
    <col min="6" max="6" width="8.28515625" style="18" customWidth="1"/>
    <col min="7" max="7" width="7.5703125" style="18" customWidth="1"/>
    <col min="8" max="8" width="9.42578125" style="18" customWidth="1"/>
    <col min="9" max="9" width="10" style="18" customWidth="1"/>
    <col min="10" max="10" width="9.7109375" style="18" customWidth="1"/>
    <col min="11" max="11" width="9" style="18" customWidth="1"/>
    <col min="12" max="12" width="9.7109375" style="18" customWidth="1"/>
    <col min="13" max="13" width="9.42578125" style="18" customWidth="1"/>
    <col min="14" max="16384" width="9.140625" style="18"/>
  </cols>
  <sheetData>
    <row r="1" spans="1:13" s="3" customFormat="1" ht="49.5" customHeight="1" x14ac:dyDescent="0.2">
      <c r="A1" s="5"/>
      <c r="B1" s="20"/>
      <c r="J1" s="56" t="s">
        <v>267</v>
      </c>
      <c r="K1" s="57"/>
      <c r="L1" s="57"/>
      <c r="M1" s="57"/>
    </row>
    <row r="2" spans="1:13" ht="27" customHeight="1" x14ac:dyDescent="0.25">
      <c r="J2" s="58" t="s">
        <v>276</v>
      </c>
      <c r="K2" s="59"/>
      <c r="L2" s="59"/>
      <c r="M2" s="59"/>
    </row>
    <row r="3" spans="1:13" s="6" customFormat="1" ht="15" customHeight="1" x14ac:dyDescent="0.2">
      <c r="A3" s="5"/>
      <c r="B3" s="21"/>
      <c r="C3" s="5"/>
      <c r="D3" s="5"/>
      <c r="E3" s="5"/>
      <c r="F3" s="5"/>
      <c r="G3" s="5"/>
      <c r="H3" s="5"/>
      <c r="I3" s="5"/>
      <c r="J3" s="47"/>
      <c r="K3" s="47"/>
      <c r="L3" s="47"/>
      <c r="M3" s="47"/>
    </row>
    <row r="4" spans="1:13" s="4" customFormat="1" ht="35.25" customHeight="1" x14ac:dyDescent="0.15">
      <c r="A4" s="33"/>
      <c r="B4" s="68" t="s">
        <v>273</v>
      </c>
      <c r="C4" s="68"/>
      <c r="D4" s="68"/>
      <c r="E4" s="68"/>
      <c r="F4" s="68"/>
      <c r="G4" s="68"/>
      <c r="H4" s="68"/>
      <c r="I4" s="68"/>
      <c r="J4" s="68"/>
      <c r="K4" s="68"/>
      <c r="L4" s="68"/>
      <c r="M4" s="68"/>
    </row>
    <row r="5" spans="1:13" s="3" customFormat="1" ht="12.75" customHeight="1" x14ac:dyDescent="0.15">
      <c r="A5" s="5"/>
      <c r="B5" s="20"/>
    </row>
    <row r="6" spans="1:13" s="2" customFormat="1" ht="21" customHeight="1" x14ac:dyDescent="0.2">
      <c r="A6" s="34"/>
      <c r="B6" s="76" t="s">
        <v>254</v>
      </c>
      <c r="C6" s="73" t="s">
        <v>0</v>
      </c>
      <c r="D6" s="73" t="s">
        <v>1</v>
      </c>
      <c r="E6" s="71" t="s">
        <v>2</v>
      </c>
      <c r="F6" s="72"/>
      <c r="G6" s="9" t="s">
        <v>3</v>
      </c>
      <c r="H6" s="69" t="s">
        <v>5</v>
      </c>
      <c r="I6" s="69"/>
      <c r="J6" s="69"/>
      <c r="K6" s="69"/>
      <c r="L6" s="69"/>
      <c r="M6" s="69"/>
    </row>
    <row r="7" spans="1:13" s="2" customFormat="1" ht="10.5" x14ac:dyDescent="0.2">
      <c r="A7" s="34"/>
      <c r="B7" s="77"/>
      <c r="C7" s="74"/>
      <c r="D7" s="74"/>
      <c r="E7" s="69" t="s">
        <v>170</v>
      </c>
      <c r="F7" s="69" t="s">
        <v>171</v>
      </c>
      <c r="G7" s="69" t="s">
        <v>172</v>
      </c>
      <c r="H7" s="69" t="s">
        <v>173</v>
      </c>
      <c r="I7" s="69"/>
      <c r="J7" s="69" t="s">
        <v>174</v>
      </c>
      <c r="K7" s="69"/>
      <c r="L7" s="69" t="s">
        <v>274</v>
      </c>
      <c r="M7" s="69"/>
    </row>
    <row r="8" spans="1:13" s="2" customFormat="1" ht="12" customHeight="1" x14ac:dyDescent="0.2">
      <c r="A8" s="34"/>
      <c r="B8" s="77"/>
      <c r="C8" s="74"/>
      <c r="D8" s="74"/>
      <c r="E8" s="70"/>
      <c r="F8" s="70"/>
      <c r="G8" s="70"/>
      <c r="H8" s="71" t="s">
        <v>169</v>
      </c>
      <c r="I8" s="72"/>
      <c r="J8" s="71" t="s">
        <v>169</v>
      </c>
      <c r="K8" s="72"/>
      <c r="L8" s="71" t="s">
        <v>169</v>
      </c>
      <c r="M8" s="72"/>
    </row>
    <row r="9" spans="1:13" s="2" customFormat="1" ht="12" customHeight="1" x14ac:dyDescent="0.2">
      <c r="A9" s="34"/>
      <c r="B9" s="78"/>
      <c r="C9" s="75"/>
      <c r="D9" s="75"/>
      <c r="E9" s="70"/>
      <c r="F9" s="70"/>
      <c r="G9" s="70"/>
      <c r="H9" s="8" t="s">
        <v>4</v>
      </c>
      <c r="I9" s="8" t="s">
        <v>157</v>
      </c>
      <c r="J9" s="8" t="s">
        <v>4</v>
      </c>
      <c r="K9" s="8" t="s">
        <v>157</v>
      </c>
      <c r="L9" s="8" t="s">
        <v>4</v>
      </c>
      <c r="M9" s="8" t="s">
        <v>157</v>
      </c>
    </row>
    <row r="10" spans="1:13" s="2" customFormat="1" ht="10.5" x14ac:dyDescent="0.2">
      <c r="A10" s="34"/>
      <c r="B10" s="26" t="s">
        <v>175</v>
      </c>
      <c r="C10" s="27" t="s">
        <v>6</v>
      </c>
      <c r="D10" s="28"/>
      <c r="E10" s="28"/>
      <c r="F10" s="28"/>
      <c r="G10" s="28"/>
      <c r="H10" s="28"/>
      <c r="I10" s="28"/>
      <c r="J10" s="28"/>
      <c r="K10" s="28"/>
      <c r="L10" s="28"/>
      <c r="M10" s="28"/>
    </row>
    <row r="11" spans="1:13" s="2" customFormat="1" ht="10.5" x14ac:dyDescent="0.2">
      <c r="A11" s="60" t="s">
        <v>160</v>
      </c>
      <c r="B11" s="19" t="s">
        <v>7</v>
      </c>
      <c r="C11" s="10" t="s">
        <v>8</v>
      </c>
      <c r="D11" s="8" t="s">
        <v>31</v>
      </c>
      <c r="E11" s="44">
        <v>24.728000000000002</v>
      </c>
      <c r="F11" s="52">
        <v>24.440999999999999</v>
      </c>
      <c r="G11" s="49">
        <v>24.318000000000001</v>
      </c>
      <c r="H11" s="53">
        <f>G11*98.5/99</f>
        <v>24.195181818181823</v>
      </c>
      <c r="I11" s="53">
        <f>G11*98.7/99.5</f>
        <v>24.122478391959799</v>
      </c>
      <c r="J11" s="53">
        <f>H11*98.6/100</f>
        <v>23.856449272727279</v>
      </c>
      <c r="K11" s="53">
        <f>I11*98.8/100</f>
        <v>23.833008651256282</v>
      </c>
      <c r="L11" s="53">
        <f>J11*98.6/100</f>
        <v>23.522458982909097</v>
      </c>
      <c r="M11" s="53">
        <f>K11*98.8/100</f>
        <v>23.547012547441206</v>
      </c>
    </row>
    <row r="12" spans="1:13" s="2" customFormat="1" ht="10.5" x14ac:dyDescent="0.2">
      <c r="A12" s="60"/>
      <c r="B12" s="19" t="s">
        <v>9</v>
      </c>
      <c r="C12" s="10" t="s">
        <v>10</v>
      </c>
      <c r="D12" s="8" t="s">
        <v>31</v>
      </c>
      <c r="E12" s="49">
        <v>24.890999999999998</v>
      </c>
      <c r="F12" s="44">
        <v>24.564</v>
      </c>
      <c r="G12" s="53">
        <v>24.486999999999998</v>
      </c>
      <c r="H12" s="53">
        <f>G12*98.5/100</f>
        <v>24.119694999999997</v>
      </c>
      <c r="I12" s="53">
        <f>G12*98.7/100</f>
        <v>24.168669000000001</v>
      </c>
      <c r="J12" s="53">
        <f>H12*98.6/100</f>
        <v>23.782019269999996</v>
      </c>
      <c r="K12" s="53">
        <f>I12*98.7/100</f>
        <v>23.854476303000002</v>
      </c>
      <c r="L12" s="53">
        <f>J12*98.6/100</f>
        <v>23.449071000219998</v>
      </c>
      <c r="M12" s="53">
        <f>K12*98.8/100</f>
        <v>23.568222587364001</v>
      </c>
    </row>
    <row r="13" spans="1:13" s="12" customFormat="1" ht="21" x14ac:dyDescent="0.2">
      <c r="A13" s="60"/>
      <c r="B13" s="19" t="s">
        <v>11</v>
      </c>
      <c r="C13" s="11" t="s">
        <v>29</v>
      </c>
      <c r="D13" s="8" t="s">
        <v>31</v>
      </c>
      <c r="E13" s="49">
        <v>13.821999999999999</v>
      </c>
      <c r="F13" s="52">
        <v>13.923</v>
      </c>
      <c r="G13" s="52">
        <v>13.537000000000001</v>
      </c>
      <c r="H13" s="53">
        <f>G13*98.5/100</f>
        <v>13.333945000000002</v>
      </c>
      <c r="I13" s="53">
        <f>G13*98.7/100</f>
        <v>13.361019000000001</v>
      </c>
      <c r="J13" s="53">
        <f>H13*98.6/100</f>
        <v>13.147269770000001</v>
      </c>
      <c r="K13" s="53">
        <f>I13*98.8/100</f>
        <v>13.200686772000001</v>
      </c>
      <c r="L13" s="53">
        <f>J13*98.6/100</f>
        <v>12.963207993220001</v>
      </c>
      <c r="M13" s="53">
        <f>K13*98.8/100</f>
        <v>13.042278530736001</v>
      </c>
    </row>
    <row r="14" spans="1:13" s="2" customFormat="1" ht="21" x14ac:dyDescent="0.2">
      <c r="A14" s="60"/>
      <c r="B14" s="19" t="s">
        <v>12</v>
      </c>
      <c r="C14" s="11" t="s">
        <v>33</v>
      </c>
      <c r="D14" s="8" t="s">
        <v>31</v>
      </c>
      <c r="E14" s="49">
        <v>6.4720000000000004</v>
      </c>
      <c r="F14" s="49">
        <v>6.2190000000000003</v>
      </c>
      <c r="G14" s="49">
        <v>6.0730000000000004</v>
      </c>
      <c r="H14" s="44">
        <f>G14*98.4/100</f>
        <v>5.9758320000000005</v>
      </c>
      <c r="I14" s="44">
        <f>G14*98.6/100</f>
        <v>5.9879780000000009</v>
      </c>
      <c r="J14" s="44">
        <f>H14*98.7/100</f>
        <v>5.8981461840000007</v>
      </c>
      <c r="K14" s="44">
        <f>I14*98.6/100</f>
        <v>5.9041463080000005</v>
      </c>
      <c r="L14" s="44">
        <f>J14*98.6/100</f>
        <v>5.8155721374239997</v>
      </c>
      <c r="M14" s="44">
        <f>K14*98.9/100</f>
        <v>5.8392006986120011</v>
      </c>
    </row>
    <row r="15" spans="1:13" s="2" customFormat="1" ht="21" x14ac:dyDescent="0.2">
      <c r="A15" s="60"/>
      <c r="B15" s="19" t="s">
        <v>13</v>
      </c>
      <c r="C15" s="10" t="s">
        <v>15</v>
      </c>
      <c r="D15" s="9" t="s">
        <v>32</v>
      </c>
      <c r="E15" s="49">
        <v>8.98</v>
      </c>
      <c r="F15" s="49">
        <v>7.65</v>
      </c>
      <c r="G15" s="49">
        <v>6.21</v>
      </c>
      <c r="H15" s="45">
        <f>G15*100.2/100</f>
        <v>6.2224199999999996</v>
      </c>
      <c r="I15" s="45">
        <f>G15*101.8/100</f>
        <v>6.3217800000000004</v>
      </c>
      <c r="J15" s="45">
        <f>H15*100.5/100</f>
        <v>6.2535321000000001</v>
      </c>
      <c r="K15" s="45">
        <f>I15*102/100</f>
        <v>6.448215600000001</v>
      </c>
      <c r="L15" s="45">
        <f>J15*100.8/100</f>
        <v>6.3035603568000003</v>
      </c>
      <c r="M15" s="45">
        <f>K15*101.2/100</f>
        <v>6.5255941872000021</v>
      </c>
    </row>
    <row r="16" spans="1:13" s="2" customFormat="1" ht="21" x14ac:dyDescent="0.2">
      <c r="A16" s="60"/>
      <c r="B16" s="19" t="s">
        <v>14</v>
      </c>
      <c r="C16" s="10" t="s">
        <v>18</v>
      </c>
      <c r="D16" s="9" t="s">
        <v>34</v>
      </c>
      <c r="E16" s="49">
        <v>16.579999999999998</v>
      </c>
      <c r="F16" s="49">
        <v>16.41</v>
      </c>
      <c r="G16" s="49">
        <v>15.9</v>
      </c>
      <c r="H16" s="45">
        <f>G16*100.1/100</f>
        <v>15.915899999999999</v>
      </c>
      <c r="I16" s="45">
        <f>G16*99.5/100</f>
        <v>15.820499999999999</v>
      </c>
      <c r="J16" s="45">
        <f>H16*99.1/100</f>
        <v>15.772656899999998</v>
      </c>
      <c r="K16" s="45">
        <f>I16*99.2/100</f>
        <v>15.693935999999999</v>
      </c>
      <c r="L16" s="45">
        <f>J16*99/100</f>
        <v>15.614930330999998</v>
      </c>
      <c r="M16" s="45">
        <f>K16*99.2/100</f>
        <v>15.568384512</v>
      </c>
    </row>
    <row r="17" spans="1:13" s="2" customFormat="1" ht="10.5" x14ac:dyDescent="0.2">
      <c r="A17" s="60"/>
      <c r="B17" s="19" t="s">
        <v>16</v>
      </c>
      <c r="C17" s="10" t="s">
        <v>19</v>
      </c>
      <c r="D17" s="8" t="s">
        <v>35</v>
      </c>
      <c r="E17" s="49">
        <v>-7.6</v>
      </c>
      <c r="F17" s="49">
        <v>-8.76</v>
      </c>
      <c r="G17" s="49">
        <v>-9.9600000000000009</v>
      </c>
      <c r="H17" s="45">
        <f>H15-H16</f>
        <v>-9.6934799999999992</v>
      </c>
      <c r="I17" s="45">
        <f>I15-I16</f>
        <v>-9.4987199999999987</v>
      </c>
      <c r="J17" s="45">
        <f t="shared" ref="J17:L17" si="0">J15-J16</f>
        <v>-9.5191247999999966</v>
      </c>
      <c r="K17" s="45">
        <f t="shared" si="0"/>
        <v>-9.245720399999998</v>
      </c>
      <c r="L17" s="45">
        <f t="shared" si="0"/>
        <v>-9.311369974199998</v>
      </c>
      <c r="M17" s="45">
        <f>M15-M16</f>
        <v>-9.0427903247999986</v>
      </c>
    </row>
    <row r="18" spans="1:13" s="2" customFormat="1" ht="12" customHeight="1" x14ac:dyDescent="0.2">
      <c r="A18" s="60"/>
      <c r="B18" s="19" t="s">
        <v>17</v>
      </c>
      <c r="C18" s="10" t="s">
        <v>258</v>
      </c>
      <c r="D18" s="8" t="s">
        <v>35</v>
      </c>
      <c r="E18" s="49">
        <v>-0.124</v>
      </c>
      <c r="F18" s="49">
        <v>-0.14499999999999999</v>
      </c>
      <c r="G18" s="49">
        <v>-0.14099999999999999</v>
      </c>
      <c r="H18" s="44">
        <f>G18*102.1/100</f>
        <v>-0.14396099999999998</v>
      </c>
      <c r="I18" s="44">
        <f>G18*96.7/100</f>
        <v>-0.136347</v>
      </c>
      <c r="J18" s="44">
        <f>H18*98.7/100</f>
        <v>-0.142089507</v>
      </c>
      <c r="K18" s="44">
        <f>I18*93.3/100</f>
        <v>-0.12721175100000001</v>
      </c>
      <c r="L18" s="44">
        <f>J18*98.7/100</f>
        <v>-0.14024234340900002</v>
      </c>
      <c r="M18" s="44">
        <f>K18*96.4/100</f>
        <v>-0.12263212796400001</v>
      </c>
    </row>
    <row r="19" spans="1:13" s="2" customFormat="1" ht="10.5" x14ac:dyDescent="0.2">
      <c r="A19" s="34"/>
      <c r="B19" s="26" t="s">
        <v>176</v>
      </c>
      <c r="C19" s="27" t="s">
        <v>23</v>
      </c>
      <c r="D19" s="28"/>
      <c r="E19" s="28"/>
      <c r="F19" s="50"/>
      <c r="G19" s="50"/>
      <c r="H19" s="28"/>
      <c r="I19" s="28"/>
      <c r="J19" s="28"/>
      <c r="K19" s="28"/>
      <c r="L19" s="28"/>
      <c r="M19" s="28"/>
    </row>
    <row r="20" spans="1:13" s="2" customFormat="1" ht="31.5" x14ac:dyDescent="0.2">
      <c r="A20" s="60" t="s">
        <v>160</v>
      </c>
      <c r="B20" s="19" t="s">
        <v>20</v>
      </c>
      <c r="C20" s="11" t="s">
        <v>232</v>
      </c>
      <c r="D20" s="8" t="s">
        <v>150</v>
      </c>
      <c r="E20" s="42">
        <v>797</v>
      </c>
      <c r="F20" s="42">
        <v>669.4</v>
      </c>
      <c r="G20" s="42">
        <f>F20*G21/100</f>
        <v>682.11860000000001</v>
      </c>
      <c r="H20" s="42">
        <f t="shared" ref="H20:M20" si="1">F20*H21/100</f>
        <v>694.16779999999994</v>
      </c>
      <c r="I20" s="42">
        <f t="shared" si="1"/>
        <v>709.40334400000006</v>
      </c>
      <c r="J20" s="42">
        <f t="shared" si="1"/>
        <v>722.62867979999999</v>
      </c>
      <c r="K20" s="42">
        <f t="shared" si="1"/>
        <v>743.45470451200003</v>
      </c>
      <c r="L20" s="42">
        <f t="shared" si="1"/>
        <v>758.03748511020012</v>
      </c>
      <c r="M20" s="42">
        <f t="shared" si="1"/>
        <v>780.62743973760007</v>
      </c>
    </row>
    <row r="21" spans="1:13" s="2" customFormat="1" ht="21" x14ac:dyDescent="0.2">
      <c r="A21" s="60"/>
      <c r="B21" s="19" t="s">
        <v>21</v>
      </c>
      <c r="C21" s="10" t="s">
        <v>234</v>
      </c>
      <c r="D21" s="9" t="s">
        <v>36</v>
      </c>
      <c r="E21" s="42">
        <v>116.3</v>
      </c>
      <c r="F21" s="42">
        <v>84</v>
      </c>
      <c r="G21" s="42">
        <v>101.9</v>
      </c>
      <c r="H21" s="42">
        <v>103.7</v>
      </c>
      <c r="I21" s="42">
        <v>104</v>
      </c>
      <c r="J21" s="42">
        <v>104.1</v>
      </c>
      <c r="K21" s="42">
        <v>104.8</v>
      </c>
      <c r="L21" s="42">
        <v>104.9</v>
      </c>
      <c r="M21" s="42">
        <v>105</v>
      </c>
    </row>
    <row r="22" spans="1:13" s="2" customFormat="1" ht="10.5" customHeight="1" x14ac:dyDescent="0.2">
      <c r="A22" s="60"/>
      <c r="B22" s="19"/>
      <c r="C22" s="41" t="s">
        <v>233</v>
      </c>
      <c r="D22" s="8"/>
      <c r="E22" s="42"/>
      <c r="F22" s="51"/>
      <c r="G22" s="51"/>
      <c r="H22" s="42"/>
      <c r="I22" s="42"/>
      <c r="J22" s="42"/>
      <c r="K22" s="42"/>
      <c r="L22" s="42"/>
      <c r="M22" s="42"/>
    </row>
    <row r="23" spans="1:13" s="2" customFormat="1" ht="10.5" x14ac:dyDescent="0.2">
      <c r="A23" s="60"/>
      <c r="B23" s="19" t="s">
        <v>22</v>
      </c>
      <c r="C23" s="14" t="s">
        <v>38</v>
      </c>
      <c r="D23" s="9" t="s">
        <v>150</v>
      </c>
      <c r="E23" s="42" t="s">
        <v>259</v>
      </c>
      <c r="F23" s="42" t="s">
        <v>259</v>
      </c>
      <c r="G23" s="42" t="s">
        <v>259</v>
      </c>
      <c r="H23" s="42" t="s">
        <v>259</v>
      </c>
      <c r="I23" s="42" t="s">
        <v>259</v>
      </c>
      <c r="J23" s="42" t="s">
        <v>259</v>
      </c>
      <c r="K23" s="42" t="s">
        <v>259</v>
      </c>
      <c r="L23" s="42" t="s">
        <v>259</v>
      </c>
      <c r="M23" s="42" t="s">
        <v>259</v>
      </c>
    </row>
    <row r="24" spans="1:13" s="2" customFormat="1" ht="21" x14ac:dyDescent="0.2">
      <c r="A24" s="60"/>
      <c r="B24" s="19" t="s">
        <v>177</v>
      </c>
      <c r="C24" s="14" t="s">
        <v>235</v>
      </c>
      <c r="D24" s="9" t="s">
        <v>36</v>
      </c>
      <c r="E24" s="42" t="s">
        <v>259</v>
      </c>
      <c r="F24" s="42" t="s">
        <v>259</v>
      </c>
      <c r="G24" s="42" t="s">
        <v>259</v>
      </c>
      <c r="H24" s="42" t="s">
        <v>259</v>
      </c>
      <c r="I24" s="42" t="s">
        <v>259</v>
      </c>
      <c r="J24" s="42" t="s">
        <v>259</v>
      </c>
      <c r="K24" s="42" t="s">
        <v>259</v>
      </c>
      <c r="L24" s="42" t="s">
        <v>259</v>
      </c>
      <c r="M24" s="42" t="s">
        <v>259</v>
      </c>
    </row>
    <row r="25" spans="1:13" s="2" customFormat="1" ht="10.5" x14ac:dyDescent="0.2">
      <c r="A25" s="60"/>
      <c r="B25" s="19" t="s">
        <v>178</v>
      </c>
      <c r="C25" s="14" t="s">
        <v>39</v>
      </c>
      <c r="D25" s="9" t="s">
        <v>150</v>
      </c>
      <c r="E25" s="42">
        <v>506.5</v>
      </c>
      <c r="F25" s="42">
        <v>374.8</v>
      </c>
      <c r="G25" s="42">
        <f>F25*G26/100</f>
        <v>337.32</v>
      </c>
      <c r="H25" s="42">
        <f>G25*H26/100</f>
        <v>349.80084000000005</v>
      </c>
      <c r="I25" s="42">
        <f>G25*I26/100</f>
        <v>350.81279999999998</v>
      </c>
      <c r="J25" s="42">
        <f>H25*J26/100</f>
        <v>364.14267444000006</v>
      </c>
      <c r="K25" s="42">
        <f>I25*K26/100</f>
        <v>367.65181439999998</v>
      </c>
      <c r="L25" s="42">
        <f>J25*L26/100</f>
        <v>381.98566548756008</v>
      </c>
      <c r="M25" s="42">
        <f>K25*M26/100</f>
        <v>386.03440512000003</v>
      </c>
    </row>
    <row r="26" spans="1:13" s="2" customFormat="1" ht="21" x14ac:dyDescent="0.2">
      <c r="A26" s="60"/>
      <c r="B26" s="19" t="s">
        <v>179</v>
      </c>
      <c r="C26" s="14" t="s">
        <v>236</v>
      </c>
      <c r="D26" s="9" t="s">
        <v>36</v>
      </c>
      <c r="E26" s="42">
        <v>120.4</v>
      </c>
      <c r="F26" s="42">
        <v>74</v>
      </c>
      <c r="G26" s="42">
        <v>90</v>
      </c>
      <c r="H26" s="42">
        <v>103.7</v>
      </c>
      <c r="I26" s="42">
        <v>104</v>
      </c>
      <c r="J26" s="42">
        <v>104.1</v>
      </c>
      <c r="K26" s="42">
        <v>104.8</v>
      </c>
      <c r="L26" s="42">
        <v>104.9</v>
      </c>
      <c r="M26" s="42">
        <v>105</v>
      </c>
    </row>
    <row r="27" spans="1:13" s="2" customFormat="1" ht="18" x14ac:dyDescent="0.2">
      <c r="A27" s="60"/>
      <c r="B27" s="19" t="s">
        <v>180</v>
      </c>
      <c r="C27" s="13" t="s">
        <v>37</v>
      </c>
      <c r="D27" s="9" t="s">
        <v>150</v>
      </c>
      <c r="E27" s="42" t="s">
        <v>259</v>
      </c>
      <c r="F27" s="42" t="s">
        <v>259</v>
      </c>
      <c r="G27" s="42" t="s">
        <v>259</v>
      </c>
      <c r="H27" s="42" t="s">
        <v>259</v>
      </c>
      <c r="I27" s="42" t="s">
        <v>259</v>
      </c>
      <c r="J27" s="42" t="s">
        <v>259</v>
      </c>
      <c r="K27" s="42" t="s">
        <v>259</v>
      </c>
      <c r="L27" s="42" t="s">
        <v>259</v>
      </c>
      <c r="M27" s="42" t="s">
        <v>259</v>
      </c>
    </row>
    <row r="28" spans="1:13" s="2" customFormat="1" ht="21" x14ac:dyDescent="0.2">
      <c r="A28" s="60"/>
      <c r="B28" s="19" t="s">
        <v>181</v>
      </c>
      <c r="C28" s="13" t="s">
        <v>237</v>
      </c>
      <c r="D28" s="9" t="s">
        <v>36</v>
      </c>
      <c r="E28" s="42" t="s">
        <v>259</v>
      </c>
      <c r="F28" s="42" t="s">
        <v>259</v>
      </c>
      <c r="G28" s="42" t="s">
        <v>259</v>
      </c>
      <c r="H28" s="42" t="s">
        <v>259</v>
      </c>
      <c r="I28" s="42" t="s">
        <v>259</v>
      </c>
      <c r="J28" s="42" t="s">
        <v>259</v>
      </c>
      <c r="K28" s="42" t="s">
        <v>259</v>
      </c>
      <c r="L28" s="42" t="s">
        <v>259</v>
      </c>
      <c r="M28" s="42" t="s">
        <v>259</v>
      </c>
    </row>
    <row r="29" spans="1:13" s="2" customFormat="1" ht="27" x14ac:dyDescent="0.2">
      <c r="A29" s="60"/>
      <c r="B29" s="19" t="s">
        <v>182</v>
      </c>
      <c r="C29" s="13" t="s">
        <v>40</v>
      </c>
      <c r="D29" s="9" t="s">
        <v>150</v>
      </c>
      <c r="E29" s="42" t="s">
        <v>259</v>
      </c>
      <c r="F29" s="42" t="s">
        <v>259</v>
      </c>
      <c r="G29" s="42" t="s">
        <v>259</v>
      </c>
      <c r="H29" s="42" t="s">
        <v>259</v>
      </c>
      <c r="I29" s="42" t="s">
        <v>259</v>
      </c>
      <c r="J29" s="42" t="s">
        <v>259</v>
      </c>
      <c r="K29" s="42" t="s">
        <v>259</v>
      </c>
      <c r="L29" s="42" t="s">
        <v>259</v>
      </c>
      <c r="M29" s="42" t="s">
        <v>259</v>
      </c>
    </row>
    <row r="30" spans="1:13" s="2" customFormat="1" ht="21" x14ac:dyDescent="0.2">
      <c r="A30" s="40"/>
      <c r="B30" s="19" t="s">
        <v>183</v>
      </c>
      <c r="C30" s="13" t="s">
        <v>238</v>
      </c>
      <c r="D30" s="9" t="s">
        <v>36</v>
      </c>
      <c r="E30" s="42" t="s">
        <v>259</v>
      </c>
      <c r="F30" s="42" t="s">
        <v>259</v>
      </c>
      <c r="G30" s="42" t="s">
        <v>259</v>
      </c>
      <c r="H30" s="42" t="s">
        <v>259</v>
      </c>
      <c r="I30" s="42" t="s">
        <v>259</v>
      </c>
      <c r="J30" s="42" t="s">
        <v>259</v>
      </c>
      <c r="K30" s="42" t="s">
        <v>259</v>
      </c>
      <c r="L30" s="42" t="s">
        <v>259</v>
      </c>
      <c r="M30" s="42" t="s">
        <v>259</v>
      </c>
    </row>
    <row r="31" spans="1:13" s="2" customFormat="1" ht="10.5" x14ac:dyDescent="0.2">
      <c r="A31" s="40"/>
      <c r="B31" s="19" t="s">
        <v>268</v>
      </c>
      <c r="C31" s="11" t="s">
        <v>269</v>
      </c>
      <c r="D31" s="9" t="s">
        <v>168</v>
      </c>
      <c r="E31" s="42" t="s">
        <v>259</v>
      </c>
      <c r="F31" s="42" t="s">
        <v>259</v>
      </c>
      <c r="G31" s="42" t="s">
        <v>259</v>
      </c>
      <c r="H31" s="42" t="s">
        <v>259</v>
      </c>
      <c r="I31" s="42" t="s">
        <v>259</v>
      </c>
      <c r="J31" s="42" t="s">
        <v>259</v>
      </c>
      <c r="K31" s="42" t="s">
        <v>259</v>
      </c>
      <c r="L31" s="42" t="s">
        <v>259</v>
      </c>
      <c r="M31" s="42" t="s">
        <v>259</v>
      </c>
    </row>
    <row r="32" spans="1:13" s="2" customFormat="1" ht="10.5" x14ac:dyDescent="0.2">
      <c r="A32" s="34"/>
      <c r="B32" s="26" t="s">
        <v>184</v>
      </c>
      <c r="C32" s="27" t="s">
        <v>41</v>
      </c>
      <c r="D32" s="29"/>
      <c r="E32" s="28"/>
      <c r="F32" s="50"/>
      <c r="G32" s="50"/>
      <c r="H32" s="28"/>
      <c r="I32" s="28"/>
      <c r="J32" s="28"/>
      <c r="K32" s="28"/>
      <c r="L32" s="28"/>
      <c r="M32" s="28"/>
    </row>
    <row r="33" spans="1:13" s="2" customFormat="1" ht="10.5" x14ac:dyDescent="0.2">
      <c r="A33" s="60" t="s">
        <v>160</v>
      </c>
      <c r="B33" s="19" t="s">
        <v>24</v>
      </c>
      <c r="C33" s="10" t="s">
        <v>43</v>
      </c>
      <c r="D33" s="8" t="s">
        <v>150</v>
      </c>
      <c r="E33" s="42">
        <v>354.15</v>
      </c>
      <c r="F33" s="42">
        <f>E33*F34/100</f>
        <v>287.92394999999999</v>
      </c>
      <c r="G33" s="42">
        <f>F33*G34/100</f>
        <v>294.54620084999999</v>
      </c>
      <c r="H33" s="42">
        <f>G33*H34/100</f>
        <v>301.61530967039999</v>
      </c>
      <c r="I33" s="42">
        <f>G33*I34/100</f>
        <v>304.85531787974998</v>
      </c>
      <c r="J33" s="42">
        <f>H33*J34/100</f>
        <v>310.0605383411712</v>
      </c>
      <c r="K33" s="42">
        <f>I33*K34/100</f>
        <v>317.04953059493999</v>
      </c>
      <c r="L33" s="42">
        <f>J33*L34/100</f>
        <v>319.36235449140634</v>
      </c>
      <c r="M33" s="42">
        <f>M34*K33/100</f>
        <v>329.73151181873754</v>
      </c>
    </row>
    <row r="34" spans="1:13" s="2" customFormat="1" ht="21" x14ac:dyDescent="0.2">
      <c r="A34" s="60"/>
      <c r="B34" s="19" t="s">
        <v>25</v>
      </c>
      <c r="C34" s="10" t="s">
        <v>45</v>
      </c>
      <c r="D34" s="9" t="s">
        <v>36</v>
      </c>
      <c r="E34" s="42">
        <v>121.2</v>
      </c>
      <c r="F34" s="42">
        <v>81.3</v>
      </c>
      <c r="G34" s="42">
        <v>102.3</v>
      </c>
      <c r="H34" s="42">
        <v>102.4</v>
      </c>
      <c r="I34" s="42">
        <v>103.5</v>
      </c>
      <c r="J34" s="42">
        <v>102.8</v>
      </c>
      <c r="K34" s="42">
        <v>104</v>
      </c>
      <c r="L34" s="42">
        <v>103</v>
      </c>
      <c r="M34" s="42">
        <v>104</v>
      </c>
    </row>
    <row r="35" spans="1:13" s="2" customFormat="1" ht="10.5" x14ac:dyDescent="0.2">
      <c r="A35" s="60"/>
      <c r="B35" s="19" t="s">
        <v>26</v>
      </c>
      <c r="C35" s="10" t="s">
        <v>47</v>
      </c>
      <c r="D35" s="8" t="s">
        <v>150</v>
      </c>
      <c r="E35" s="42" t="s">
        <v>259</v>
      </c>
      <c r="F35" s="42" t="s">
        <v>259</v>
      </c>
      <c r="G35" s="42" t="s">
        <v>259</v>
      </c>
      <c r="H35" s="42" t="s">
        <v>259</v>
      </c>
      <c r="I35" s="42" t="s">
        <v>259</v>
      </c>
      <c r="J35" s="42" t="s">
        <v>259</v>
      </c>
      <c r="K35" s="42" t="s">
        <v>259</v>
      </c>
      <c r="L35" s="42" t="s">
        <v>259</v>
      </c>
      <c r="M35" s="42" t="s">
        <v>259</v>
      </c>
    </row>
    <row r="36" spans="1:13" s="2" customFormat="1" ht="21" x14ac:dyDescent="0.2">
      <c r="A36" s="60"/>
      <c r="B36" s="19" t="s">
        <v>27</v>
      </c>
      <c r="C36" s="10" t="s">
        <v>49</v>
      </c>
      <c r="D36" s="9" t="s">
        <v>36</v>
      </c>
      <c r="E36" s="42" t="s">
        <v>259</v>
      </c>
      <c r="F36" s="42" t="s">
        <v>259</v>
      </c>
      <c r="G36" s="42" t="s">
        <v>259</v>
      </c>
      <c r="H36" s="42" t="s">
        <v>259</v>
      </c>
      <c r="I36" s="42" t="s">
        <v>259</v>
      </c>
      <c r="J36" s="42" t="s">
        <v>259</v>
      </c>
      <c r="K36" s="42" t="s">
        <v>259</v>
      </c>
      <c r="L36" s="42" t="s">
        <v>259</v>
      </c>
      <c r="M36" s="42" t="s">
        <v>259</v>
      </c>
    </row>
    <row r="37" spans="1:13" s="2" customFormat="1" ht="10.5" x14ac:dyDescent="0.2">
      <c r="A37" s="60"/>
      <c r="B37" s="19" t="s">
        <v>28</v>
      </c>
      <c r="C37" s="10" t="s">
        <v>50</v>
      </c>
      <c r="D37" s="8" t="s">
        <v>150</v>
      </c>
      <c r="E37" s="42" t="s">
        <v>259</v>
      </c>
      <c r="F37" s="42" t="s">
        <v>259</v>
      </c>
      <c r="G37" s="42" t="s">
        <v>259</v>
      </c>
      <c r="H37" s="42" t="s">
        <v>259</v>
      </c>
      <c r="I37" s="42" t="s">
        <v>259</v>
      </c>
      <c r="J37" s="42" t="s">
        <v>259</v>
      </c>
      <c r="K37" s="42" t="s">
        <v>259</v>
      </c>
      <c r="L37" s="42" t="s">
        <v>259</v>
      </c>
      <c r="M37" s="42" t="s">
        <v>259</v>
      </c>
    </row>
    <row r="38" spans="1:13" s="2" customFormat="1" ht="21" x14ac:dyDescent="0.2">
      <c r="A38" s="60"/>
      <c r="B38" s="19" t="s">
        <v>30</v>
      </c>
      <c r="C38" s="10" t="s">
        <v>51</v>
      </c>
      <c r="D38" s="9" t="s">
        <v>36</v>
      </c>
      <c r="E38" s="42" t="s">
        <v>259</v>
      </c>
      <c r="F38" s="42" t="s">
        <v>259</v>
      </c>
      <c r="G38" s="42" t="s">
        <v>259</v>
      </c>
      <c r="H38" s="42" t="s">
        <v>259</v>
      </c>
      <c r="I38" s="42" t="s">
        <v>259</v>
      </c>
      <c r="J38" s="42" t="s">
        <v>259</v>
      </c>
      <c r="K38" s="42" t="s">
        <v>259</v>
      </c>
      <c r="L38" s="42" t="s">
        <v>259</v>
      </c>
      <c r="M38" s="42" t="s">
        <v>259</v>
      </c>
    </row>
    <row r="39" spans="1:13" s="2" customFormat="1" ht="10.5" x14ac:dyDescent="0.2">
      <c r="A39" s="34"/>
      <c r="B39" s="26" t="s">
        <v>185</v>
      </c>
      <c r="C39" s="27" t="s">
        <v>52</v>
      </c>
      <c r="D39" s="28"/>
      <c r="E39" s="28"/>
      <c r="F39" s="28"/>
      <c r="G39" s="28"/>
      <c r="H39" s="28"/>
      <c r="I39" s="28"/>
      <c r="J39" s="28"/>
      <c r="K39" s="28"/>
      <c r="L39" s="28"/>
      <c r="M39" s="28"/>
    </row>
    <row r="40" spans="1:13" s="2" customFormat="1" ht="21" customHeight="1" x14ac:dyDescent="0.2">
      <c r="A40" s="60" t="s">
        <v>160</v>
      </c>
      <c r="B40" s="19" t="s">
        <v>42</v>
      </c>
      <c r="C40" s="11" t="s">
        <v>239</v>
      </c>
      <c r="D40" s="9" t="s">
        <v>150</v>
      </c>
      <c r="E40" s="42" t="s">
        <v>259</v>
      </c>
      <c r="F40" s="42">
        <v>422.9</v>
      </c>
      <c r="G40" s="42">
        <f>F40*G41/100</f>
        <v>427.12899999999996</v>
      </c>
      <c r="H40" s="42">
        <f>G40*H41/100</f>
        <v>427.12899999999996</v>
      </c>
      <c r="I40" s="42">
        <f>G40*I41/100</f>
        <v>432.254548</v>
      </c>
      <c r="J40" s="42">
        <f>G40*J41/100</f>
        <v>429.26464499999997</v>
      </c>
      <c r="K40" s="42">
        <f>G40*K41/100</f>
        <v>433.53593499999994</v>
      </c>
      <c r="L40" s="42">
        <f>G40*L41/100</f>
        <v>431.40028999999993</v>
      </c>
      <c r="M40" s="42">
        <f>G40*M41/100</f>
        <v>434.81732199999999</v>
      </c>
    </row>
    <row r="41" spans="1:13" s="2" customFormat="1" ht="21" x14ac:dyDescent="0.2">
      <c r="A41" s="60"/>
      <c r="B41" s="19" t="s">
        <v>44</v>
      </c>
      <c r="C41" s="11" t="s">
        <v>55</v>
      </c>
      <c r="D41" s="9" t="s">
        <v>36</v>
      </c>
      <c r="E41" s="42" t="s">
        <v>259</v>
      </c>
      <c r="F41" s="42">
        <v>104.7</v>
      </c>
      <c r="G41" s="42">
        <v>101</v>
      </c>
      <c r="H41" s="42">
        <v>100</v>
      </c>
      <c r="I41" s="42">
        <v>101.2</v>
      </c>
      <c r="J41" s="42">
        <v>100.5</v>
      </c>
      <c r="K41" s="42">
        <v>101.5</v>
      </c>
      <c r="L41" s="42">
        <v>101</v>
      </c>
      <c r="M41" s="42">
        <v>101.8</v>
      </c>
    </row>
    <row r="42" spans="1:13" s="2" customFormat="1" ht="10.5" x14ac:dyDescent="0.2">
      <c r="A42" s="60"/>
      <c r="B42" s="19" t="s">
        <v>46</v>
      </c>
      <c r="C42" s="10" t="s">
        <v>57</v>
      </c>
      <c r="D42" s="9" t="s">
        <v>58</v>
      </c>
      <c r="E42" s="42" t="s">
        <v>259</v>
      </c>
      <c r="F42" s="42" t="s">
        <v>259</v>
      </c>
      <c r="G42" s="42" t="s">
        <v>259</v>
      </c>
      <c r="H42" s="42" t="s">
        <v>259</v>
      </c>
      <c r="I42" s="42" t="s">
        <v>259</v>
      </c>
      <c r="J42" s="42" t="s">
        <v>259</v>
      </c>
      <c r="K42" s="42" t="s">
        <v>259</v>
      </c>
      <c r="L42" s="42" t="s">
        <v>259</v>
      </c>
      <c r="M42" s="42" t="s">
        <v>259</v>
      </c>
    </row>
    <row r="43" spans="1:13" s="2" customFormat="1" ht="10.5" x14ac:dyDescent="0.2">
      <c r="A43" s="35" t="s">
        <v>161</v>
      </c>
      <c r="B43" s="19" t="s">
        <v>48</v>
      </c>
      <c r="C43" s="10" t="s">
        <v>60</v>
      </c>
      <c r="D43" s="8" t="s">
        <v>154</v>
      </c>
      <c r="E43" s="42">
        <v>3.56</v>
      </c>
      <c r="F43" s="42">
        <v>3.7050000000000001</v>
      </c>
      <c r="G43" s="42">
        <v>3.74</v>
      </c>
      <c r="H43" s="42">
        <f>G43*96.7/100</f>
        <v>3.6165800000000004</v>
      </c>
      <c r="I43" s="42">
        <f>G43*99.1/100</f>
        <v>3.70634</v>
      </c>
      <c r="J43" s="42">
        <f>H43*97.9/100</f>
        <v>3.5406318200000002</v>
      </c>
      <c r="K43" s="42">
        <f>I43*100.5/100</f>
        <v>3.7248717</v>
      </c>
      <c r="L43" s="42">
        <f>J43*101/100</f>
        <v>3.5760381382000004</v>
      </c>
      <c r="M43" s="42">
        <f>K43*101.8/100</f>
        <v>3.7919193905999999</v>
      </c>
    </row>
    <row r="44" spans="1:13" s="2" customFormat="1" ht="10.5" x14ac:dyDescent="0.2">
      <c r="A44" s="34"/>
      <c r="B44" s="26" t="s">
        <v>186</v>
      </c>
      <c r="C44" s="27" t="s">
        <v>61</v>
      </c>
      <c r="D44" s="28"/>
      <c r="E44" s="28"/>
      <c r="F44" s="50"/>
      <c r="G44" s="50"/>
      <c r="H44" s="28"/>
      <c r="I44" s="28"/>
      <c r="J44" s="28"/>
      <c r="K44" s="28"/>
      <c r="L44" s="28"/>
      <c r="M44" s="28"/>
    </row>
    <row r="45" spans="1:13" s="2" customFormat="1" ht="21" x14ac:dyDescent="0.2">
      <c r="A45" s="60" t="s">
        <v>160</v>
      </c>
      <c r="B45" s="19" t="s">
        <v>53</v>
      </c>
      <c r="C45" s="11" t="s">
        <v>63</v>
      </c>
      <c r="D45" s="9" t="s">
        <v>64</v>
      </c>
      <c r="E45" s="42">
        <v>107.4</v>
      </c>
      <c r="F45" s="42">
        <v>107.9</v>
      </c>
      <c r="G45" s="42">
        <v>107.6</v>
      </c>
      <c r="H45" s="42">
        <v>104.4</v>
      </c>
      <c r="I45" s="42">
        <v>104</v>
      </c>
      <c r="J45" s="42">
        <v>104</v>
      </c>
      <c r="K45" s="42">
        <v>104</v>
      </c>
      <c r="L45" s="42">
        <v>104</v>
      </c>
      <c r="M45" s="42">
        <v>104</v>
      </c>
    </row>
    <row r="46" spans="1:13" s="2" customFormat="1" ht="10.5" customHeight="1" x14ac:dyDescent="0.2">
      <c r="A46" s="60"/>
      <c r="B46" s="19" t="s">
        <v>54</v>
      </c>
      <c r="C46" s="11" t="s">
        <v>66</v>
      </c>
      <c r="D46" s="9" t="s">
        <v>58</v>
      </c>
      <c r="E46" s="42">
        <v>105.9</v>
      </c>
      <c r="F46" s="42">
        <v>107.2</v>
      </c>
      <c r="G46" s="42">
        <v>105.4</v>
      </c>
      <c r="H46" s="42">
        <v>104</v>
      </c>
      <c r="I46" s="42">
        <v>104</v>
      </c>
      <c r="J46" s="42">
        <v>104</v>
      </c>
      <c r="K46" s="42">
        <v>104</v>
      </c>
      <c r="L46" s="42">
        <v>104</v>
      </c>
      <c r="M46" s="42">
        <v>104</v>
      </c>
    </row>
    <row r="47" spans="1:13" s="2" customFormat="1" ht="10.5" x14ac:dyDescent="0.2">
      <c r="A47" s="60"/>
      <c r="B47" s="19" t="s">
        <v>56</v>
      </c>
      <c r="C47" s="10" t="s">
        <v>68</v>
      </c>
      <c r="D47" s="8" t="s">
        <v>151</v>
      </c>
      <c r="E47" s="42">
        <v>1363.3</v>
      </c>
      <c r="F47" s="42">
        <v>1642.52</v>
      </c>
      <c r="G47" s="42">
        <f>G48*F47/100</f>
        <v>1938.1735999999999</v>
      </c>
      <c r="H47" s="42">
        <f>G47*H48/100</f>
        <v>2021.5150647999999</v>
      </c>
      <c r="I47" s="42">
        <f>G47*I48/100</f>
        <v>2027.3295855999997</v>
      </c>
      <c r="J47" s="42">
        <f>H47*J48/100</f>
        <v>2112.4832427159999</v>
      </c>
      <c r="K47" s="42">
        <f>I47*K48/100</f>
        <v>2122.6140761232</v>
      </c>
      <c r="L47" s="42">
        <f>J47*L48/100</f>
        <v>2188.5326394537756</v>
      </c>
      <c r="M47" s="42">
        <f>K47*M48/100</f>
        <v>2207.5186391681282</v>
      </c>
    </row>
    <row r="48" spans="1:13" s="2" customFormat="1" ht="21" x14ac:dyDescent="0.2">
      <c r="A48" s="60"/>
      <c r="B48" s="19" t="s">
        <v>59</v>
      </c>
      <c r="C48" s="10" t="s">
        <v>69</v>
      </c>
      <c r="D48" s="9" t="s">
        <v>36</v>
      </c>
      <c r="E48" s="42" t="s">
        <v>260</v>
      </c>
      <c r="F48" s="42">
        <v>110.4</v>
      </c>
      <c r="G48" s="42">
        <v>118</v>
      </c>
      <c r="H48" s="42">
        <v>104.3</v>
      </c>
      <c r="I48" s="42">
        <v>104.6</v>
      </c>
      <c r="J48" s="42">
        <v>104.5</v>
      </c>
      <c r="K48" s="42">
        <v>104.7</v>
      </c>
      <c r="L48" s="42">
        <v>103.6</v>
      </c>
      <c r="M48" s="42">
        <v>104</v>
      </c>
    </row>
    <row r="49" spans="1:13" s="2" customFormat="1" ht="10.5" x14ac:dyDescent="0.2">
      <c r="A49" s="60"/>
      <c r="B49" s="19" t="s">
        <v>187</v>
      </c>
      <c r="C49" s="10" t="s">
        <v>70</v>
      </c>
      <c r="D49" s="8" t="s">
        <v>58</v>
      </c>
      <c r="E49" s="42" t="s">
        <v>259</v>
      </c>
      <c r="F49" s="42">
        <v>108.7</v>
      </c>
      <c r="G49" s="42">
        <v>106.6</v>
      </c>
      <c r="H49" s="42">
        <v>103.8</v>
      </c>
      <c r="I49" s="42">
        <v>104.1</v>
      </c>
      <c r="J49" s="42">
        <v>103.8</v>
      </c>
      <c r="K49" s="42">
        <v>104.1</v>
      </c>
      <c r="L49" s="42">
        <v>103.6</v>
      </c>
      <c r="M49" s="42">
        <v>103.9</v>
      </c>
    </row>
    <row r="50" spans="1:13" s="2" customFormat="1" ht="10.5" x14ac:dyDescent="0.2">
      <c r="A50" s="60"/>
      <c r="B50" s="19" t="s">
        <v>188</v>
      </c>
      <c r="C50" s="10" t="s">
        <v>71</v>
      </c>
      <c r="D50" s="9" t="s">
        <v>151</v>
      </c>
      <c r="E50" s="42">
        <v>358.8</v>
      </c>
      <c r="F50" s="42">
        <v>394.3</v>
      </c>
      <c r="G50" s="42">
        <f>F50*G51/100</f>
        <v>394.6943</v>
      </c>
      <c r="H50" s="42">
        <f>G50*H51/100</f>
        <v>395.08899429999997</v>
      </c>
      <c r="I50" s="42">
        <f>H50*I51/100</f>
        <v>397.06443927149996</v>
      </c>
      <c r="J50" s="42">
        <f>J51*H50/100</f>
        <v>396.27426128289994</v>
      </c>
      <c r="K50" s="42">
        <f>I50*K51/100</f>
        <v>399.84389034640043</v>
      </c>
      <c r="L50" s="42">
        <f>J50*L51/100</f>
        <v>398.6519068505973</v>
      </c>
      <c r="M50" s="42">
        <f>K50*M51/100</f>
        <v>403.84232924986441</v>
      </c>
    </row>
    <row r="51" spans="1:13" s="2" customFormat="1" ht="21" x14ac:dyDescent="0.2">
      <c r="A51" s="60"/>
      <c r="B51" s="19" t="s">
        <v>189</v>
      </c>
      <c r="C51" s="10" t="s">
        <v>72</v>
      </c>
      <c r="D51" s="9" t="s">
        <v>36</v>
      </c>
      <c r="E51" s="42">
        <v>104.6</v>
      </c>
      <c r="F51" s="42">
        <v>99.4</v>
      </c>
      <c r="G51" s="42">
        <v>100.1</v>
      </c>
      <c r="H51" s="42">
        <v>100.1</v>
      </c>
      <c r="I51" s="42">
        <v>100.5</v>
      </c>
      <c r="J51" s="42">
        <v>100.3</v>
      </c>
      <c r="K51" s="42">
        <v>100.7</v>
      </c>
      <c r="L51" s="42">
        <v>100.6</v>
      </c>
      <c r="M51" s="42">
        <v>101</v>
      </c>
    </row>
    <row r="52" spans="1:13" s="2" customFormat="1" ht="10.5" x14ac:dyDescent="0.2">
      <c r="A52" s="60"/>
      <c r="B52" s="19" t="s">
        <v>190</v>
      </c>
      <c r="C52" s="10" t="s">
        <v>73</v>
      </c>
      <c r="D52" s="9" t="s">
        <v>58</v>
      </c>
      <c r="E52" s="42">
        <v>105.2</v>
      </c>
      <c r="F52" s="42">
        <v>102.2</v>
      </c>
      <c r="G52" s="42">
        <v>102.4</v>
      </c>
      <c r="H52" s="42">
        <v>100.1</v>
      </c>
      <c r="I52" s="42">
        <v>100.5</v>
      </c>
      <c r="J52" s="42">
        <v>100.3</v>
      </c>
      <c r="K52" s="42">
        <v>100.7</v>
      </c>
      <c r="L52" s="42">
        <v>100.6</v>
      </c>
      <c r="M52" s="42">
        <v>101</v>
      </c>
    </row>
    <row r="53" spans="1:13" s="2" customFormat="1" ht="21" x14ac:dyDescent="0.2">
      <c r="A53" s="34"/>
      <c r="B53" s="26" t="s">
        <v>191</v>
      </c>
      <c r="C53" s="30" t="s">
        <v>79</v>
      </c>
      <c r="D53" s="28"/>
      <c r="E53" s="28"/>
      <c r="F53" s="28"/>
      <c r="G53" s="28"/>
      <c r="H53" s="28"/>
      <c r="I53" s="28"/>
      <c r="J53" s="28"/>
      <c r="K53" s="28"/>
      <c r="L53" s="28"/>
      <c r="M53" s="28"/>
    </row>
    <row r="54" spans="1:13" s="2" customFormat="1" ht="21" x14ac:dyDescent="0.2">
      <c r="A54" s="60" t="s">
        <v>160</v>
      </c>
      <c r="B54" s="19" t="s">
        <v>62</v>
      </c>
      <c r="C54" s="11" t="s">
        <v>81</v>
      </c>
      <c r="D54" s="8" t="s">
        <v>82</v>
      </c>
      <c r="E54" s="43">
        <v>844</v>
      </c>
      <c r="F54" s="43">
        <v>887</v>
      </c>
      <c r="G54" s="43">
        <v>881</v>
      </c>
      <c r="H54" s="43">
        <f>G54*100.7/100</f>
        <v>887.16699999999992</v>
      </c>
      <c r="I54" s="43">
        <f>G54*101.1/100</f>
        <v>890.69099999999992</v>
      </c>
      <c r="J54" s="43">
        <f>H54*100.5/100</f>
        <v>891.60283499999991</v>
      </c>
      <c r="K54" s="43">
        <f>I54*100.3/100</f>
        <v>893.36307299999987</v>
      </c>
      <c r="L54" s="43">
        <f>J54*100.6/100</f>
        <v>896.95245200999989</v>
      </c>
      <c r="M54" s="43">
        <f>K54*100.6/100</f>
        <v>898.72325143799981</v>
      </c>
    </row>
    <row r="55" spans="1:13" s="2" customFormat="1" ht="30.95" customHeight="1" x14ac:dyDescent="0.2">
      <c r="A55" s="60"/>
      <c r="B55" s="19" t="s">
        <v>65</v>
      </c>
      <c r="C55" s="11" t="s">
        <v>84</v>
      </c>
      <c r="D55" s="8" t="s">
        <v>31</v>
      </c>
      <c r="E55" s="45">
        <v>2.7</v>
      </c>
      <c r="F55" s="45">
        <v>3.66</v>
      </c>
      <c r="G55" s="45">
        <v>3.5</v>
      </c>
      <c r="H55" s="45">
        <f>G55*100.7/100</f>
        <v>3.5244999999999997</v>
      </c>
      <c r="I55" s="45">
        <f>G55*101.1/100</f>
        <v>3.5384999999999995</v>
      </c>
      <c r="J55" s="45">
        <f>H55*101.4/100</f>
        <v>3.5738430000000001</v>
      </c>
      <c r="K55" s="45">
        <f>I55*102.3/100</f>
        <v>3.6198854999999992</v>
      </c>
      <c r="L55" s="45">
        <f>J55*102.1/100</f>
        <v>3.6488937030000002</v>
      </c>
      <c r="M55" s="45">
        <f>K55*103.5/100</f>
        <v>3.7465814924999989</v>
      </c>
    </row>
    <row r="56" spans="1:13" s="2" customFormat="1" ht="21.75" customHeight="1" x14ac:dyDescent="0.2">
      <c r="A56" s="60"/>
      <c r="B56" s="19" t="s">
        <v>67</v>
      </c>
      <c r="C56" s="11" t="s">
        <v>86</v>
      </c>
      <c r="D56" s="8" t="s">
        <v>150</v>
      </c>
      <c r="E56" s="42" t="s">
        <v>259</v>
      </c>
      <c r="F56" s="42" t="s">
        <v>259</v>
      </c>
      <c r="G56" s="42" t="s">
        <v>259</v>
      </c>
      <c r="H56" s="42" t="s">
        <v>259</v>
      </c>
      <c r="I56" s="42" t="s">
        <v>259</v>
      </c>
      <c r="J56" s="42" t="s">
        <v>259</v>
      </c>
      <c r="K56" s="42" t="s">
        <v>259</v>
      </c>
      <c r="L56" s="42" t="s">
        <v>259</v>
      </c>
      <c r="M56" s="42" t="s">
        <v>259</v>
      </c>
    </row>
    <row r="57" spans="1:13" s="2" customFormat="1" ht="19.5" customHeight="1" x14ac:dyDescent="0.2">
      <c r="A57" s="34"/>
      <c r="B57" s="26" t="s">
        <v>192</v>
      </c>
      <c r="C57" s="27" t="s">
        <v>87</v>
      </c>
      <c r="D57" s="28"/>
      <c r="E57" s="28"/>
      <c r="F57" s="50"/>
      <c r="G57" s="50"/>
      <c r="H57" s="28"/>
      <c r="I57" s="28"/>
      <c r="J57" s="28"/>
      <c r="K57" s="28"/>
      <c r="L57" s="28"/>
      <c r="M57" s="28"/>
    </row>
    <row r="58" spans="1:13" s="2" customFormat="1" ht="10.5" x14ac:dyDescent="0.2">
      <c r="A58" s="60" t="s">
        <v>160</v>
      </c>
      <c r="B58" s="19" t="s">
        <v>74</v>
      </c>
      <c r="C58" s="10" t="s">
        <v>89</v>
      </c>
      <c r="D58" s="8" t="s">
        <v>151</v>
      </c>
      <c r="E58" s="42">
        <v>2949.13</v>
      </c>
      <c r="F58" s="42">
        <v>6649.2</v>
      </c>
      <c r="G58" s="42">
        <v>3100</v>
      </c>
      <c r="H58" s="42">
        <f>G58*H59/100</f>
        <v>3103.1</v>
      </c>
      <c r="I58" s="42">
        <f>G58*I59/100</f>
        <v>3131</v>
      </c>
      <c r="J58" s="42">
        <f>H58*J59/100</f>
        <v>3112.4092999999998</v>
      </c>
      <c r="K58" s="42">
        <f>I58*K59/100</f>
        <v>3168.5720000000001</v>
      </c>
      <c r="L58" s="42">
        <f>J58*L59/100</f>
        <v>3127.9713464999995</v>
      </c>
      <c r="M58" s="42">
        <f>K58*M59/100</f>
        <v>3212.9320080000007</v>
      </c>
    </row>
    <row r="59" spans="1:13" s="2" customFormat="1" ht="21" x14ac:dyDescent="0.2">
      <c r="A59" s="60"/>
      <c r="B59" s="19" t="s">
        <v>75</v>
      </c>
      <c r="C59" s="10" t="s">
        <v>91</v>
      </c>
      <c r="D59" s="9" t="s">
        <v>36</v>
      </c>
      <c r="E59" s="42" t="s">
        <v>261</v>
      </c>
      <c r="F59" s="42" t="s">
        <v>275</v>
      </c>
      <c r="G59" s="42">
        <v>98.2</v>
      </c>
      <c r="H59" s="42">
        <v>100.1</v>
      </c>
      <c r="I59" s="42">
        <v>101</v>
      </c>
      <c r="J59" s="42">
        <v>100.3</v>
      </c>
      <c r="K59" s="42">
        <v>101.2</v>
      </c>
      <c r="L59" s="42">
        <v>100.5</v>
      </c>
      <c r="M59" s="42">
        <v>101.4</v>
      </c>
    </row>
    <row r="60" spans="1:13" s="2" customFormat="1" ht="10.5" x14ac:dyDescent="0.2">
      <c r="A60" s="60"/>
      <c r="B60" s="19" t="s">
        <v>76</v>
      </c>
      <c r="C60" s="10" t="s">
        <v>92</v>
      </c>
      <c r="D60" s="8" t="s">
        <v>58</v>
      </c>
      <c r="E60" s="42">
        <v>114.6</v>
      </c>
      <c r="F60" s="42">
        <v>108.4</v>
      </c>
      <c r="G60" s="42">
        <v>108.4</v>
      </c>
      <c r="H60" s="42">
        <v>107.4</v>
      </c>
      <c r="I60" s="42">
        <v>107.3</v>
      </c>
      <c r="J60" s="42">
        <v>105</v>
      </c>
      <c r="K60" s="42">
        <v>105.3</v>
      </c>
      <c r="L60" s="42">
        <v>104.3</v>
      </c>
      <c r="M60" s="42">
        <v>104.4</v>
      </c>
    </row>
    <row r="61" spans="1:13" s="2" customFormat="1" ht="36" x14ac:dyDescent="0.2">
      <c r="A61" s="60"/>
      <c r="B61" s="19"/>
      <c r="C61" s="13" t="s">
        <v>155</v>
      </c>
      <c r="D61" s="8"/>
      <c r="E61" s="42"/>
      <c r="F61" s="51"/>
      <c r="G61" s="51"/>
      <c r="H61" s="42"/>
      <c r="I61" s="42"/>
      <c r="J61" s="42"/>
      <c r="K61" s="42"/>
      <c r="L61" s="42"/>
      <c r="M61" s="42"/>
    </row>
    <row r="62" spans="1:13" s="2" customFormat="1" ht="10.5" x14ac:dyDescent="0.2">
      <c r="A62" s="60"/>
      <c r="B62" s="19" t="s">
        <v>77</v>
      </c>
      <c r="C62" s="10" t="s">
        <v>96</v>
      </c>
      <c r="D62" s="8" t="s">
        <v>151</v>
      </c>
      <c r="E62" s="42" t="s">
        <v>259</v>
      </c>
      <c r="F62" s="42" t="s">
        <v>259</v>
      </c>
      <c r="G62" s="42" t="s">
        <v>259</v>
      </c>
      <c r="H62" s="42" t="s">
        <v>259</v>
      </c>
      <c r="I62" s="42" t="s">
        <v>259</v>
      </c>
      <c r="J62" s="42" t="s">
        <v>259</v>
      </c>
      <c r="K62" s="42" t="s">
        <v>259</v>
      </c>
      <c r="L62" s="42" t="s">
        <v>259</v>
      </c>
      <c r="M62" s="42" t="s">
        <v>259</v>
      </c>
    </row>
    <row r="63" spans="1:13" s="2" customFormat="1" ht="10.5" x14ac:dyDescent="0.2">
      <c r="A63" s="60"/>
      <c r="B63" s="19" t="s">
        <v>78</v>
      </c>
      <c r="C63" s="10" t="s">
        <v>98</v>
      </c>
      <c r="D63" s="8" t="s">
        <v>151</v>
      </c>
      <c r="E63" s="42" t="s">
        <v>259</v>
      </c>
      <c r="F63" s="42" t="s">
        <v>259</v>
      </c>
      <c r="G63" s="42" t="s">
        <v>259</v>
      </c>
      <c r="H63" s="42" t="s">
        <v>259</v>
      </c>
      <c r="I63" s="42" t="s">
        <v>259</v>
      </c>
      <c r="J63" s="42" t="s">
        <v>259</v>
      </c>
      <c r="K63" s="42" t="s">
        <v>259</v>
      </c>
      <c r="L63" s="42" t="s">
        <v>259</v>
      </c>
      <c r="M63" s="42" t="s">
        <v>259</v>
      </c>
    </row>
    <row r="64" spans="1:13" s="2" customFormat="1" ht="10.5" x14ac:dyDescent="0.2">
      <c r="A64" s="60"/>
      <c r="B64" s="19" t="s">
        <v>240</v>
      </c>
      <c r="C64" s="15" t="s">
        <v>99</v>
      </c>
      <c r="D64" s="8" t="s">
        <v>151</v>
      </c>
      <c r="E64" s="42" t="s">
        <v>259</v>
      </c>
      <c r="F64" s="42" t="s">
        <v>259</v>
      </c>
      <c r="G64" s="42" t="s">
        <v>259</v>
      </c>
      <c r="H64" s="42" t="s">
        <v>259</v>
      </c>
      <c r="I64" s="42" t="s">
        <v>259</v>
      </c>
      <c r="J64" s="42" t="s">
        <v>259</v>
      </c>
      <c r="K64" s="42" t="s">
        <v>259</v>
      </c>
      <c r="L64" s="42" t="s">
        <v>259</v>
      </c>
      <c r="M64" s="42" t="s">
        <v>259</v>
      </c>
    </row>
    <row r="65" spans="1:13" s="2" customFormat="1" ht="10.5" x14ac:dyDescent="0.2">
      <c r="A65" s="60"/>
      <c r="B65" s="19" t="s">
        <v>241</v>
      </c>
      <c r="C65" s="16" t="s">
        <v>149</v>
      </c>
      <c r="D65" s="8" t="s">
        <v>151</v>
      </c>
      <c r="E65" s="42" t="s">
        <v>259</v>
      </c>
      <c r="F65" s="42" t="s">
        <v>259</v>
      </c>
      <c r="G65" s="42" t="s">
        <v>259</v>
      </c>
      <c r="H65" s="42" t="s">
        <v>259</v>
      </c>
      <c r="I65" s="42" t="s">
        <v>259</v>
      </c>
      <c r="J65" s="42" t="s">
        <v>259</v>
      </c>
      <c r="K65" s="42" t="s">
        <v>259</v>
      </c>
      <c r="L65" s="42" t="s">
        <v>259</v>
      </c>
      <c r="M65" s="42" t="s">
        <v>259</v>
      </c>
    </row>
    <row r="66" spans="1:13" s="2" customFormat="1" ht="10.5" x14ac:dyDescent="0.2">
      <c r="A66" s="60"/>
      <c r="B66" s="19" t="s">
        <v>242</v>
      </c>
      <c r="C66" s="15" t="s">
        <v>100</v>
      </c>
      <c r="D66" s="8" t="s">
        <v>151</v>
      </c>
      <c r="E66" s="42" t="s">
        <v>259</v>
      </c>
      <c r="F66" s="42" t="s">
        <v>259</v>
      </c>
      <c r="G66" s="42" t="s">
        <v>259</v>
      </c>
      <c r="H66" s="42" t="s">
        <v>259</v>
      </c>
      <c r="I66" s="42" t="s">
        <v>259</v>
      </c>
      <c r="J66" s="42" t="s">
        <v>259</v>
      </c>
      <c r="K66" s="42" t="s">
        <v>259</v>
      </c>
      <c r="L66" s="42" t="s">
        <v>259</v>
      </c>
      <c r="M66" s="42" t="s">
        <v>259</v>
      </c>
    </row>
    <row r="67" spans="1:13" s="2" customFormat="1" ht="10.5" x14ac:dyDescent="0.2">
      <c r="A67" s="60"/>
      <c r="B67" s="19" t="s">
        <v>243</v>
      </c>
      <c r="C67" s="15" t="s">
        <v>101</v>
      </c>
      <c r="D67" s="8" t="s">
        <v>151</v>
      </c>
      <c r="E67" s="42" t="s">
        <v>259</v>
      </c>
      <c r="F67" s="42" t="s">
        <v>259</v>
      </c>
      <c r="G67" s="42" t="s">
        <v>259</v>
      </c>
      <c r="H67" s="42" t="s">
        <v>259</v>
      </c>
      <c r="I67" s="42" t="s">
        <v>259</v>
      </c>
      <c r="J67" s="42" t="s">
        <v>259</v>
      </c>
      <c r="K67" s="42" t="s">
        <v>259</v>
      </c>
      <c r="L67" s="42" t="s">
        <v>259</v>
      </c>
      <c r="M67" s="42" t="s">
        <v>259</v>
      </c>
    </row>
    <row r="68" spans="1:13" s="2" customFormat="1" ht="10.5" x14ac:dyDescent="0.2">
      <c r="A68" s="60"/>
      <c r="B68" s="19" t="s">
        <v>244</v>
      </c>
      <c r="C68" s="16" t="s">
        <v>102</v>
      </c>
      <c r="D68" s="8" t="s">
        <v>151</v>
      </c>
      <c r="E68" s="42" t="s">
        <v>259</v>
      </c>
      <c r="F68" s="42" t="s">
        <v>259</v>
      </c>
      <c r="G68" s="42" t="s">
        <v>259</v>
      </c>
      <c r="H68" s="42" t="s">
        <v>259</v>
      </c>
      <c r="I68" s="42" t="s">
        <v>259</v>
      </c>
      <c r="J68" s="42" t="s">
        <v>259</v>
      </c>
      <c r="K68" s="42" t="s">
        <v>259</v>
      </c>
      <c r="L68" s="42" t="s">
        <v>259</v>
      </c>
      <c r="M68" s="42" t="s">
        <v>259</v>
      </c>
    </row>
    <row r="69" spans="1:13" s="2" customFormat="1" ht="10.5" x14ac:dyDescent="0.2">
      <c r="A69" s="60"/>
      <c r="B69" s="19" t="s">
        <v>245</v>
      </c>
      <c r="C69" s="16" t="s">
        <v>103</v>
      </c>
      <c r="D69" s="8" t="s">
        <v>151</v>
      </c>
      <c r="E69" s="42" t="s">
        <v>259</v>
      </c>
      <c r="F69" s="42" t="s">
        <v>259</v>
      </c>
      <c r="G69" s="42" t="s">
        <v>259</v>
      </c>
      <c r="H69" s="42" t="s">
        <v>259</v>
      </c>
      <c r="I69" s="42" t="s">
        <v>259</v>
      </c>
      <c r="J69" s="42" t="s">
        <v>259</v>
      </c>
      <c r="K69" s="42" t="s">
        <v>259</v>
      </c>
      <c r="L69" s="42" t="s">
        <v>259</v>
      </c>
      <c r="M69" s="42" t="s">
        <v>259</v>
      </c>
    </row>
    <row r="70" spans="1:13" s="2" customFormat="1" ht="10.5" x14ac:dyDescent="0.2">
      <c r="A70" s="60"/>
      <c r="B70" s="19" t="s">
        <v>246</v>
      </c>
      <c r="C70" s="16" t="s">
        <v>104</v>
      </c>
      <c r="D70" s="8" t="s">
        <v>151</v>
      </c>
      <c r="E70" s="42" t="s">
        <v>259</v>
      </c>
      <c r="F70" s="42" t="s">
        <v>259</v>
      </c>
      <c r="G70" s="42" t="s">
        <v>259</v>
      </c>
      <c r="H70" s="42" t="s">
        <v>259</v>
      </c>
      <c r="I70" s="42" t="s">
        <v>259</v>
      </c>
      <c r="J70" s="42" t="s">
        <v>259</v>
      </c>
      <c r="K70" s="42" t="s">
        <v>259</v>
      </c>
      <c r="L70" s="42" t="s">
        <v>259</v>
      </c>
      <c r="M70" s="42" t="s">
        <v>259</v>
      </c>
    </row>
    <row r="71" spans="1:13" s="2" customFormat="1" ht="10.5" x14ac:dyDescent="0.2">
      <c r="A71" s="60"/>
      <c r="B71" s="19" t="s">
        <v>247</v>
      </c>
      <c r="C71" s="15" t="s">
        <v>105</v>
      </c>
      <c r="D71" s="8" t="s">
        <v>151</v>
      </c>
      <c r="E71" s="42" t="s">
        <v>259</v>
      </c>
      <c r="F71" s="42" t="s">
        <v>259</v>
      </c>
      <c r="G71" s="42" t="s">
        <v>259</v>
      </c>
      <c r="H71" s="42" t="s">
        <v>259</v>
      </c>
      <c r="I71" s="42" t="s">
        <v>259</v>
      </c>
      <c r="J71" s="42" t="s">
        <v>259</v>
      </c>
      <c r="K71" s="42" t="s">
        <v>259</v>
      </c>
      <c r="L71" s="42" t="s">
        <v>259</v>
      </c>
      <c r="M71" s="42" t="s">
        <v>259</v>
      </c>
    </row>
    <row r="72" spans="1:13" s="2" customFormat="1" ht="10.5" customHeight="1" x14ac:dyDescent="0.2">
      <c r="A72" s="34"/>
      <c r="B72" s="26" t="s">
        <v>193</v>
      </c>
      <c r="C72" s="30" t="s">
        <v>248</v>
      </c>
      <c r="D72" s="28"/>
      <c r="E72" s="28"/>
      <c r="F72" s="50"/>
      <c r="G72" s="50"/>
      <c r="H72" s="28"/>
      <c r="I72" s="28"/>
      <c r="J72" s="28"/>
      <c r="K72" s="28"/>
      <c r="L72" s="28"/>
      <c r="M72" s="28"/>
    </row>
    <row r="73" spans="1:13" s="2" customFormat="1" ht="21" customHeight="1" x14ac:dyDescent="0.2">
      <c r="A73" s="62" t="s">
        <v>162</v>
      </c>
      <c r="B73" s="19" t="s">
        <v>80</v>
      </c>
      <c r="C73" s="13" t="s">
        <v>249</v>
      </c>
      <c r="D73" s="8" t="s">
        <v>150</v>
      </c>
      <c r="E73" s="42">
        <f t="shared" ref="E73:M73" si="2">E74+E87</f>
        <v>1301.4299999999998</v>
      </c>
      <c r="F73" s="42">
        <f t="shared" si="2"/>
        <v>1511.42</v>
      </c>
      <c r="G73" s="42">
        <f t="shared" si="2"/>
        <v>1551.4699999999998</v>
      </c>
      <c r="H73" s="42">
        <f t="shared" si="2"/>
        <v>1690.3200000000002</v>
      </c>
      <c r="I73" s="42">
        <f t="shared" si="2"/>
        <v>1690.3200000000002</v>
      </c>
      <c r="J73" s="42">
        <f t="shared" si="2"/>
        <v>1403.9899999999998</v>
      </c>
      <c r="K73" s="42">
        <f t="shared" si="2"/>
        <v>1403.9899999999998</v>
      </c>
      <c r="L73" s="42">
        <f t="shared" si="2"/>
        <v>1415.46</v>
      </c>
      <c r="M73" s="42">
        <f t="shared" si="2"/>
        <v>1415.46</v>
      </c>
    </row>
    <row r="74" spans="1:13" s="2" customFormat="1" ht="12.75" customHeight="1" x14ac:dyDescent="0.2">
      <c r="A74" s="62"/>
      <c r="B74" s="19" t="s">
        <v>83</v>
      </c>
      <c r="C74" s="14" t="s">
        <v>108</v>
      </c>
      <c r="D74" s="8" t="s">
        <v>150</v>
      </c>
      <c r="E74" s="42">
        <f>E75+E86</f>
        <v>520.66</v>
      </c>
      <c r="F74" s="42">
        <f>F75+F86</f>
        <v>599.85</v>
      </c>
      <c r="G74" s="42">
        <f>G75+G86</f>
        <v>712.20999999999992</v>
      </c>
      <c r="H74" s="42">
        <f t="shared" ref="H74:M74" si="3">H75+H86</f>
        <v>781.19</v>
      </c>
      <c r="I74" s="42">
        <f t="shared" si="3"/>
        <v>781.19</v>
      </c>
      <c r="J74" s="42">
        <f t="shared" si="3"/>
        <v>709.68</v>
      </c>
      <c r="K74" s="42">
        <f t="shared" si="3"/>
        <v>709.68</v>
      </c>
      <c r="L74" s="42">
        <f t="shared" si="3"/>
        <v>684.82999999999993</v>
      </c>
      <c r="M74" s="42">
        <f t="shared" si="3"/>
        <v>684.82999999999993</v>
      </c>
    </row>
    <row r="75" spans="1:13" s="2" customFormat="1" ht="21" customHeight="1" x14ac:dyDescent="0.2">
      <c r="A75" s="62"/>
      <c r="B75" s="19" t="s">
        <v>85</v>
      </c>
      <c r="C75" s="13" t="s">
        <v>250</v>
      </c>
      <c r="D75" s="8" t="s">
        <v>150</v>
      </c>
      <c r="E75" s="42">
        <v>487.21</v>
      </c>
      <c r="F75" s="42">
        <v>577.70000000000005</v>
      </c>
      <c r="G75" s="42">
        <v>691.93</v>
      </c>
      <c r="H75" s="42">
        <v>760.1</v>
      </c>
      <c r="I75" s="42">
        <v>760.1</v>
      </c>
      <c r="J75" s="42">
        <v>689.41</v>
      </c>
      <c r="K75" s="42">
        <v>689.41</v>
      </c>
      <c r="L75" s="42">
        <v>664.56</v>
      </c>
      <c r="M75" s="42">
        <v>664.56</v>
      </c>
    </row>
    <row r="76" spans="1:13" s="2" customFormat="1" ht="10.5" x14ac:dyDescent="0.2">
      <c r="A76" s="62"/>
      <c r="B76" s="19" t="s">
        <v>194</v>
      </c>
      <c r="C76" s="15" t="s">
        <v>111</v>
      </c>
      <c r="D76" s="8" t="s">
        <v>150</v>
      </c>
      <c r="E76" s="42"/>
      <c r="F76" s="51"/>
      <c r="G76" s="42"/>
      <c r="H76" s="42"/>
      <c r="I76" s="42"/>
      <c r="J76" s="42"/>
      <c r="K76" s="42"/>
      <c r="L76" s="42"/>
      <c r="M76" s="42"/>
    </row>
    <row r="77" spans="1:13" s="2" customFormat="1" ht="10.5" x14ac:dyDescent="0.2">
      <c r="A77" s="62"/>
      <c r="B77" s="19" t="s">
        <v>195</v>
      </c>
      <c r="C77" s="15" t="s">
        <v>113</v>
      </c>
      <c r="D77" s="8" t="s">
        <v>150</v>
      </c>
      <c r="E77" s="42">
        <v>430.99</v>
      </c>
      <c r="F77" s="42">
        <v>515.17999999999995</v>
      </c>
      <c r="G77" s="42">
        <v>617.71</v>
      </c>
      <c r="H77" s="42">
        <v>699.49</v>
      </c>
      <c r="I77" s="42">
        <v>699.49</v>
      </c>
      <c r="J77" s="42">
        <v>620</v>
      </c>
      <c r="K77" s="42">
        <v>620</v>
      </c>
      <c r="L77" s="42">
        <v>593</v>
      </c>
      <c r="M77" s="42">
        <v>593</v>
      </c>
    </row>
    <row r="78" spans="1:13" s="2" customFormat="1" ht="10.5" x14ac:dyDescent="0.2">
      <c r="A78" s="62"/>
      <c r="B78" s="19" t="s">
        <v>196</v>
      </c>
      <c r="C78" s="15" t="s">
        <v>115</v>
      </c>
      <c r="D78" s="8" t="s">
        <v>150</v>
      </c>
      <c r="E78" s="42"/>
      <c r="F78" s="42"/>
      <c r="G78" s="51"/>
      <c r="H78" s="42"/>
      <c r="I78" s="42"/>
      <c r="J78" s="42"/>
      <c r="K78" s="42"/>
      <c r="L78" s="42"/>
      <c r="M78" s="42"/>
    </row>
    <row r="79" spans="1:13" s="2" customFormat="1" ht="10.5" x14ac:dyDescent="0.2">
      <c r="A79" s="62"/>
      <c r="B79" s="19" t="s">
        <v>197</v>
      </c>
      <c r="C79" s="15" t="s">
        <v>117</v>
      </c>
      <c r="D79" s="8" t="s">
        <v>150</v>
      </c>
      <c r="E79" s="42">
        <v>18.71</v>
      </c>
      <c r="F79" s="42">
        <v>21.14</v>
      </c>
      <c r="G79" s="42">
        <v>22.73</v>
      </c>
      <c r="H79" s="42">
        <v>25.11</v>
      </c>
      <c r="I79" s="42">
        <v>25.11</v>
      </c>
      <c r="J79" s="42">
        <v>33.840000000000003</v>
      </c>
      <c r="K79" s="42">
        <v>33.840000000000003</v>
      </c>
      <c r="L79" s="42">
        <v>35.94</v>
      </c>
      <c r="M79" s="42">
        <v>35.94</v>
      </c>
    </row>
    <row r="80" spans="1:13" s="2" customFormat="1" ht="21" x14ac:dyDescent="0.2">
      <c r="A80" s="62"/>
      <c r="B80" s="19" t="s">
        <v>198</v>
      </c>
      <c r="C80" s="17" t="s">
        <v>118</v>
      </c>
      <c r="D80" s="7" t="s">
        <v>150</v>
      </c>
      <c r="E80" s="54">
        <v>2.12</v>
      </c>
      <c r="F80" s="54">
        <v>2.95</v>
      </c>
      <c r="G80" s="54">
        <v>3.67</v>
      </c>
      <c r="H80" s="54"/>
      <c r="I80" s="54"/>
      <c r="J80" s="54"/>
      <c r="K80" s="54"/>
      <c r="L80" s="54"/>
      <c r="M80" s="54"/>
    </row>
    <row r="81" spans="1:13" s="2" customFormat="1" ht="10.5" x14ac:dyDescent="0.2">
      <c r="A81" s="62"/>
      <c r="B81" s="19" t="s">
        <v>199</v>
      </c>
      <c r="C81" s="15" t="s">
        <v>119</v>
      </c>
      <c r="D81" s="8" t="s">
        <v>150</v>
      </c>
      <c r="E81" s="42">
        <v>11.47</v>
      </c>
      <c r="F81" s="42">
        <v>11.23</v>
      </c>
      <c r="G81" s="42">
        <v>10.77</v>
      </c>
      <c r="H81" s="42">
        <v>10.77</v>
      </c>
      <c r="I81" s="42">
        <v>10.77</v>
      </c>
      <c r="J81" s="42">
        <v>10.77</v>
      </c>
      <c r="K81" s="42">
        <v>10.77</v>
      </c>
      <c r="L81" s="42">
        <v>10.77</v>
      </c>
      <c r="M81" s="42">
        <v>10.77</v>
      </c>
    </row>
    <row r="82" spans="1:13" s="2" customFormat="1" ht="10.5" x14ac:dyDescent="0.2">
      <c r="A82" s="62"/>
      <c r="B82" s="19" t="s">
        <v>200</v>
      </c>
      <c r="C82" s="15" t="s">
        <v>120</v>
      </c>
      <c r="D82" s="8" t="s">
        <v>150</v>
      </c>
      <c r="E82" s="42"/>
      <c r="F82" s="42"/>
      <c r="G82" s="51"/>
      <c r="H82" s="42"/>
      <c r="I82" s="42"/>
      <c r="J82" s="42"/>
      <c r="K82" s="42"/>
      <c r="L82" s="42"/>
      <c r="M82" s="42"/>
    </row>
    <row r="83" spans="1:13" s="2" customFormat="1" ht="10.5" x14ac:dyDescent="0.2">
      <c r="A83" s="62"/>
      <c r="B83" s="19" t="s">
        <v>201</v>
      </c>
      <c r="C83" s="15" t="s">
        <v>121</v>
      </c>
      <c r="D83" s="8" t="s">
        <v>150</v>
      </c>
      <c r="E83" s="42"/>
      <c r="F83" s="42"/>
      <c r="G83" s="51"/>
      <c r="H83" s="42"/>
      <c r="I83" s="42"/>
      <c r="J83" s="42"/>
      <c r="K83" s="42"/>
      <c r="L83" s="42"/>
      <c r="M83" s="42"/>
    </row>
    <row r="84" spans="1:13" s="2" customFormat="1" ht="10.5" x14ac:dyDescent="0.2">
      <c r="A84" s="62"/>
      <c r="B84" s="19" t="s">
        <v>202</v>
      </c>
      <c r="C84" s="15" t="s">
        <v>122</v>
      </c>
      <c r="D84" s="8" t="s">
        <v>150</v>
      </c>
      <c r="E84" s="42"/>
      <c r="F84" s="42"/>
      <c r="G84" s="51"/>
      <c r="H84" s="42"/>
      <c r="I84" s="42"/>
      <c r="J84" s="42"/>
      <c r="K84" s="42"/>
      <c r="L84" s="42"/>
      <c r="M84" s="42"/>
    </row>
    <row r="85" spans="1:13" s="2" customFormat="1" ht="10.5" x14ac:dyDescent="0.2">
      <c r="A85" s="62"/>
      <c r="B85" s="19" t="s">
        <v>203</v>
      </c>
      <c r="C85" s="15" t="s">
        <v>123</v>
      </c>
      <c r="D85" s="8" t="s">
        <v>150</v>
      </c>
      <c r="E85" s="42">
        <v>9.9700000000000006</v>
      </c>
      <c r="F85" s="42">
        <v>8.0299999999999994</v>
      </c>
      <c r="G85" s="42">
        <v>7.99</v>
      </c>
      <c r="H85" s="42">
        <v>7.99</v>
      </c>
      <c r="I85" s="42">
        <v>7.99</v>
      </c>
      <c r="J85" s="42">
        <v>7.99</v>
      </c>
      <c r="K85" s="42">
        <v>7.99</v>
      </c>
      <c r="L85" s="42">
        <v>7.99</v>
      </c>
      <c r="M85" s="42">
        <v>7.99</v>
      </c>
    </row>
    <row r="86" spans="1:13" s="2" customFormat="1" ht="10.5" x14ac:dyDescent="0.2">
      <c r="A86" s="62"/>
      <c r="B86" s="19" t="s">
        <v>204</v>
      </c>
      <c r="C86" s="14" t="s">
        <v>124</v>
      </c>
      <c r="D86" s="8" t="s">
        <v>150</v>
      </c>
      <c r="E86" s="42">
        <v>33.450000000000003</v>
      </c>
      <c r="F86" s="42">
        <v>22.15</v>
      </c>
      <c r="G86" s="42">
        <v>20.28</v>
      </c>
      <c r="H86" s="42">
        <v>21.09</v>
      </c>
      <c r="I86" s="42">
        <v>21.09</v>
      </c>
      <c r="J86" s="42">
        <v>20.27</v>
      </c>
      <c r="K86" s="42">
        <v>20.27</v>
      </c>
      <c r="L86" s="42">
        <v>20.27</v>
      </c>
      <c r="M86" s="42">
        <v>20.27</v>
      </c>
    </row>
    <row r="87" spans="1:13" s="2" customFormat="1" ht="10.5" x14ac:dyDescent="0.2">
      <c r="A87" s="62"/>
      <c r="B87" s="19" t="s">
        <v>205</v>
      </c>
      <c r="C87" s="14" t="s">
        <v>125</v>
      </c>
      <c r="D87" s="8" t="s">
        <v>150</v>
      </c>
      <c r="E87" s="42">
        <v>780.77</v>
      </c>
      <c r="F87" s="42">
        <v>911.57</v>
      </c>
      <c r="G87" s="42">
        <v>839.26</v>
      </c>
      <c r="H87" s="42">
        <v>909.13</v>
      </c>
      <c r="I87" s="42">
        <v>909.13</v>
      </c>
      <c r="J87" s="42">
        <v>694.31</v>
      </c>
      <c r="K87" s="42">
        <v>694.31</v>
      </c>
      <c r="L87" s="42">
        <v>730.63</v>
      </c>
      <c r="M87" s="42">
        <v>730.63</v>
      </c>
    </row>
    <row r="88" spans="1:13" s="2" customFormat="1" ht="21" customHeight="1" x14ac:dyDescent="0.2">
      <c r="A88" s="62"/>
      <c r="B88" s="19" t="s">
        <v>206</v>
      </c>
      <c r="C88" s="13" t="s">
        <v>251</v>
      </c>
      <c r="D88" s="8" t="s">
        <v>150</v>
      </c>
      <c r="E88" s="42">
        <f t="shared" ref="E88:M88" si="4">E89+E90+E91+E92+E93+E94+E95+E96+E97+E98+E99+E100</f>
        <v>1295.2699999999998</v>
      </c>
      <c r="F88" s="42">
        <f t="shared" si="4"/>
        <v>1537.5900000000001</v>
      </c>
      <c r="G88" s="42">
        <f t="shared" si="4"/>
        <v>1560.5500000000002</v>
      </c>
      <c r="H88" s="42">
        <f t="shared" si="4"/>
        <v>1699.2699999999995</v>
      </c>
      <c r="I88" s="42">
        <f t="shared" si="4"/>
        <v>1699.2699999999995</v>
      </c>
      <c r="J88" s="42">
        <f t="shared" si="4"/>
        <v>1403.99</v>
      </c>
      <c r="K88" s="42">
        <f t="shared" si="4"/>
        <v>1403.99</v>
      </c>
      <c r="L88" s="42">
        <f t="shared" si="4"/>
        <v>1415.46</v>
      </c>
      <c r="M88" s="42">
        <f t="shared" si="4"/>
        <v>1415.46</v>
      </c>
    </row>
    <row r="89" spans="1:13" s="2" customFormat="1" ht="10.5" x14ac:dyDescent="0.2">
      <c r="A89" s="62"/>
      <c r="B89" s="19" t="s">
        <v>207</v>
      </c>
      <c r="C89" s="15" t="s">
        <v>126</v>
      </c>
      <c r="D89" s="8" t="s">
        <v>150</v>
      </c>
      <c r="E89" s="42">
        <v>109.23</v>
      </c>
      <c r="F89" s="42">
        <v>127.38</v>
      </c>
      <c r="G89" s="42">
        <v>139.41</v>
      </c>
      <c r="H89" s="42">
        <v>158.35</v>
      </c>
      <c r="I89" s="42">
        <v>158.35</v>
      </c>
      <c r="J89" s="42">
        <v>139.12</v>
      </c>
      <c r="K89" s="42">
        <v>139.12</v>
      </c>
      <c r="L89" s="42">
        <v>128.21</v>
      </c>
      <c r="M89" s="42">
        <v>128.21</v>
      </c>
    </row>
    <row r="90" spans="1:13" s="2" customFormat="1" ht="10.5" x14ac:dyDescent="0.2">
      <c r="A90" s="62"/>
      <c r="B90" s="19" t="s">
        <v>208</v>
      </c>
      <c r="C90" s="15" t="s">
        <v>127</v>
      </c>
      <c r="D90" s="8" t="s">
        <v>150</v>
      </c>
      <c r="E90" s="42"/>
      <c r="F90" s="42"/>
      <c r="G90" s="42"/>
      <c r="H90" s="42"/>
      <c r="I90" s="42"/>
      <c r="J90" s="42"/>
      <c r="K90" s="42"/>
      <c r="L90" s="42"/>
      <c r="M90" s="42"/>
    </row>
    <row r="91" spans="1:13" s="2" customFormat="1" ht="24.75" customHeight="1" x14ac:dyDescent="0.2">
      <c r="A91" s="62"/>
      <c r="B91" s="19" t="s">
        <v>209</v>
      </c>
      <c r="C91" s="17" t="s">
        <v>153</v>
      </c>
      <c r="D91" s="7" t="s">
        <v>150</v>
      </c>
      <c r="E91" s="54">
        <v>18.16</v>
      </c>
      <c r="F91" s="54">
        <v>40.630000000000003</v>
      </c>
      <c r="G91" s="54">
        <f>30.08-5.08</f>
        <v>25</v>
      </c>
      <c r="H91" s="54">
        <v>13.98</v>
      </c>
      <c r="I91" s="54">
        <v>13.98</v>
      </c>
      <c r="J91" s="54">
        <v>1.95</v>
      </c>
      <c r="K91" s="54">
        <v>1.95</v>
      </c>
      <c r="L91" s="54">
        <v>0</v>
      </c>
      <c r="M91" s="54">
        <v>0</v>
      </c>
    </row>
    <row r="92" spans="1:13" s="2" customFormat="1" ht="10.5" x14ac:dyDescent="0.2">
      <c r="A92" s="62"/>
      <c r="B92" s="19" t="s">
        <v>210</v>
      </c>
      <c r="C92" s="15" t="s">
        <v>128</v>
      </c>
      <c r="D92" s="8" t="s">
        <v>150</v>
      </c>
      <c r="E92" s="42">
        <v>100.39</v>
      </c>
      <c r="F92" s="42">
        <v>117.72</v>
      </c>
      <c r="G92" s="42">
        <v>95.38</v>
      </c>
      <c r="H92" s="42">
        <v>40.369999999999997</v>
      </c>
      <c r="I92" s="42">
        <v>40.369999999999997</v>
      </c>
      <c r="J92" s="42">
        <v>36.909999999999997</v>
      </c>
      <c r="K92" s="42">
        <v>36.909999999999997</v>
      </c>
      <c r="L92" s="42">
        <v>38.24</v>
      </c>
      <c r="M92" s="42">
        <v>38.24</v>
      </c>
    </row>
    <row r="93" spans="1:13" s="2" customFormat="1" ht="10.5" x14ac:dyDescent="0.2">
      <c r="A93" s="62"/>
      <c r="B93" s="19" t="s">
        <v>211</v>
      </c>
      <c r="C93" s="15" t="s">
        <v>129</v>
      </c>
      <c r="D93" s="8" t="s">
        <v>150</v>
      </c>
      <c r="E93" s="42">
        <v>262.98</v>
      </c>
      <c r="F93" s="42">
        <v>219.98</v>
      </c>
      <c r="G93" s="42">
        <v>251.03</v>
      </c>
      <c r="H93" s="42">
        <v>355.86</v>
      </c>
      <c r="I93" s="42">
        <v>355.86</v>
      </c>
      <c r="J93" s="42">
        <f>77.14+17.74</f>
        <v>94.88</v>
      </c>
      <c r="K93" s="42">
        <f>77.14+17.74</f>
        <v>94.88</v>
      </c>
      <c r="L93" s="42">
        <f>62.11+34.24</f>
        <v>96.35</v>
      </c>
      <c r="M93" s="42">
        <f>62.11+34.24</f>
        <v>96.35</v>
      </c>
    </row>
    <row r="94" spans="1:13" s="2" customFormat="1" ht="10.5" x14ac:dyDescent="0.2">
      <c r="A94" s="62"/>
      <c r="B94" s="19" t="s">
        <v>212</v>
      </c>
      <c r="C94" s="15" t="s">
        <v>130</v>
      </c>
      <c r="D94" s="8" t="s">
        <v>150</v>
      </c>
      <c r="E94" s="42"/>
      <c r="F94" s="42"/>
      <c r="G94" s="42"/>
      <c r="H94" s="42"/>
      <c r="I94" s="42"/>
      <c r="J94" s="42"/>
      <c r="K94" s="42"/>
      <c r="L94" s="42"/>
      <c r="M94" s="42"/>
    </row>
    <row r="95" spans="1:13" s="2" customFormat="1" ht="10.5" x14ac:dyDescent="0.2">
      <c r="A95" s="62"/>
      <c r="B95" s="19" t="s">
        <v>213</v>
      </c>
      <c r="C95" s="15" t="s">
        <v>131</v>
      </c>
      <c r="D95" s="8" t="s">
        <v>150</v>
      </c>
      <c r="E95" s="42">
        <v>623.66999999999996</v>
      </c>
      <c r="F95" s="42">
        <v>831.7</v>
      </c>
      <c r="G95" s="42">
        <v>869.43</v>
      </c>
      <c r="H95" s="42">
        <v>887.43</v>
      </c>
      <c r="I95" s="42">
        <v>887.43</v>
      </c>
      <c r="J95" s="42">
        <v>906.63</v>
      </c>
      <c r="K95" s="42">
        <v>906.63</v>
      </c>
      <c r="L95" s="42">
        <v>928.11</v>
      </c>
      <c r="M95" s="42">
        <v>928.11</v>
      </c>
    </row>
    <row r="96" spans="1:13" s="2" customFormat="1" ht="10.5" x14ac:dyDescent="0.2">
      <c r="A96" s="62"/>
      <c r="B96" s="19" t="s">
        <v>214</v>
      </c>
      <c r="C96" s="15" t="s">
        <v>132</v>
      </c>
      <c r="D96" s="8" t="s">
        <v>150</v>
      </c>
      <c r="E96" s="42">
        <v>77.11</v>
      </c>
      <c r="F96" s="42">
        <v>113.48</v>
      </c>
      <c r="G96" s="42">
        <v>93.66</v>
      </c>
      <c r="H96" s="42">
        <v>107.26</v>
      </c>
      <c r="I96" s="42">
        <v>107.26</v>
      </c>
      <c r="J96" s="42">
        <v>107.28</v>
      </c>
      <c r="K96" s="42">
        <v>107.28</v>
      </c>
      <c r="L96" s="42">
        <v>107.36</v>
      </c>
      <c r="M96" s="42">
        <v>107.36</v>
      </c>
    </row>
    <row r="97" spans="1:13" s="2" customFormat="1" ht="10.5" x14ac:dyDescent="0.2">
      <c r="A97" s="62"/>
      <c r="B97" s="19" t="s">
        <v>215</v>
      </c>
      <c r="C97" s="15" t="s">
        <v>133</v>
      </c>
      <c r="D97" s="8" t="s">
        <v>150</v>
      </c>
      <c r="E97" s="42"/>
      <c r="F97" s="42"/>
      <c r="G97" s="42"/>
      <c r="H97" s="42"/>
      <c r="I97" s="42"/>
      <c r="J97" s="42"/>
      <c r="K97" s="42"/>
      <c r="L97" s="42"/>
      <c r="M97" s="42"/>
    </row>
    <row r="98" spans="1:13" s="2" customFormat="1" ht="10.5" x14ac:dyDescent="0.2">
      <c r="A98" s="62"/>
      <c r="B98" s="19" t="s">
        <v>216</v>
      </c>
      <c r="C98" s="15" t="s">
        <v>134</v>
      </c>
      <c r="D98" s="8" t="s">
        <v>150</v>
      </c>
      <c r="E98" s="42">
        <v>76.150000000000006</v>
      </c>
      <c r="F98" s="42">
        <v>63.18</v>
      </c>
      <c r="G98" s="42">
        <v>65.97</v>
      </c>
      <c r="H98" s="42">
        <v>88.63</v>
      </c>
      <c r="I98" s="42">
        <v>88.63</v>
      </c>
      <c r="J98" s="42">
        <v>94.41</v>
      </c>
      <c r="K98" s="42">
        <v>94.41</v>
      </c>
      <c r="L98" s="42">
        <v>97.3</v>
      </c>
      <c r="M98" s="42">
        <v>97.3</v>
      </c>
    </row>
    <row r="99" spans="1:13" s="2" customFormat="1" ht="10.5" x14ac:dyDescent="0.2">
      <c r="A99" s="62"/>
      <c r="B99" s="19" t="s">
        <v>217</v>
      </c>
      <c r="C99" s="15" t="s">
        <v>135</v>
      </c>
      <c r="D99" s="8" t="s">
        <v>150</v>
      </c>
      <c r="E99" s="42">
        <v>26.46</v>
      </c>
      <c r="F99" s="42">
        <v>22.78</v>
      </c>
      <c r="G99" s="42">
        <v>19.97</v>
      </c>
      <c r="H99" s="42">
        <v>46.79</v>
      </c>
      <c r="I99" s="42">
        <v>46.79</v>
      </c>
      <c r="J99" s="42">
        <v>22.31</v>
      </c>
      <c r="K99" s="42">
        <v>22.31</v>
      </c>
      <c r="L99" s="42">
        <v>19.89</v>
      </c>
      <c r="M99" s="42">
        <v>19.89</v>
      </c>
    </row>
    <row r="100" spans="1:13" s="2" customFormat="1" ht="10.5" x14ac:dyDescent="0.2">
      <c r="A100" s="62"/>
      <c r="B100" s="19" t="s">
        <v>218</v>
      </c>
      <c r="C100" s="15" t="s">
        <v>136</v>
      </c>
      <c r="D100" s="8" t="s">
        <v>150</v>
      </c>
      <c r="E100" s="42">
        <v>1.1200000000000001</v>
      </c>
      <c r="F100" s="42">
        <v>0.74</v>
      </c>
      <c r="G100" s="42">
        <v>0.7</v>
      </c>
      <c r="H100" s="42">
        <v>0.6</v>
      </c>
      <c r="I100" s="42">
        <v>0.6</v>
      </c>
      <c r="J100" s="42">
        <v>0.5</v>
      </c>
      <c r="K100" s="42">
        <v>0.5</v>
      </c>
      <c r="L100" s="42">
        <v>0</v>
      </c>
      <c r="M100" s="42">
        <v>0</v>
      </c>
    </row>
    <row r="101" spans="1:13" s="2" customFormat="1" ht="10.5" x14ac:dyDescent="0.2">
      <c r="A101" s="62"/>
      <c r="B101" s="19" t="s">
        <v>219</v>
      </c>
      <c r="C101" s="15" t="s">
        <v>137</v>
      </c>
      <c r="D101" s="8" t="s">
        <v>150</v>
      </c>
      <c r="E101" s="42">
        <v>0</v>
      </c>
      <c r="F101" s="42">
        <v>0</v>
      </c>
      <c r="G101" s="42">
        <v>0</v>
      </c>
      <c r="H101" s="42">
        <v>0</v>
      </c>
      <c r="I101" s="42">
        <v>0</v>
      </c>
      <c r="J101" s="42">
        <v>0</v>
      </c>
      <c r="K101" s="42">
        <v>0</v>
      </c>
      <c r="L101" s="42">
        <v>0</v>
      </c>
      <c r="M101" s="42">
        <v>0</v>
      </c>
    </row>
    <row r="102" spans="1:13" s="2" customFormat="1" ht="21" customHeight="1" x14ac:dyDescent="0.2">
      <c r="A102" s="62"/>
      <c r="B102" s="19" t="s">
        <v>220</v>
      </c>
      <c r="C102" s="13" t="s">
        <v>252</v>
      </c>
      <c r="D102" s="8" t="s">
        <v>150</v>
      </c>
      <c r="E102" s="42">
        <f>E73-E88</f>
        <v>6.1600000000000819</v>
      </c>
      <c r="F102" s="42">
        <f>F73-F88</f>
        <v>-26.170000000000073</v>
      </c>
      <c r="G102" s="42">
        <f>G73-G88</f>
        <v>-9.080000000000382</v>
      </c>
      <c r="H102" s="42">
        <f t="shared" ref="H102:M102" si="5">H73-H88</f>
        <v>-8.9499999999993634</v>
      </c>
      <c r="I102" s="42">
        <f t="shared" si="5"/>
        <v>-8.9499999999993634</v>
      </c>
      <c r="J102" s="42">
        <f t="shared" si="5"/>
        <v>0</v>
      </c>
      <c r="K102" s="42">
        <f t="shared" si="5"/>
        <v>0</v>
      </c>
      <c r="L102" s="42">
        <f t="shared" si="5"/>
        <v>0</v>
      </c>
      <c r="M102" s="42">
        <f t="shared" si="5"/>
        <v>0</v>
      </c>
    </row>
    <row r="103" spans="1:13" s="2" customFormat="1" ht="10.5" x14ac:dyDescent="0.2">
      <c r="A103" s="62"/>
      <c r="B103" s="19" t="s">
        <v>221</v>
      </c>
      <c r="C103" s="11" t="s">
        <v>253</v>
      </c>
      <c r="D103" s="8" t="s">
        <v>150</v>
      </c>
      <c r="E103" s="42">
        <v>5</v>
      </c>
      <c r="F103" s="42">
        <v>0</v>
      </c>
      <c r="G103" s="42">
        <v>0</v>
      </c>
      <c r="H103" s="42">
        <v>0</v>
      </c>
      <c r="I103" s="42">
        <v>0</v>
      </c>
      <c r="J103" s="42">
        <v>0</v>
      </c>
      <c r="K103" s="42">
        <v>0</v>
      </c>
      <c r="L103" s="42">
        <v>0</v>
      </c>
      <c r="M103" s="42">
        <v>0</v>
      </c>
    </row>
    <row r="104" spans="1:13" s="2" customFormat="1" ht="10.5" x14ac:dyDescent="0.2">
      <c r="A104" s="34"/>
      <c r="B104" s="26" t="s">
        <v>222</v>
      </c>
      <c r="C104" s="27" t="s">
        <v>138</v>
      </c>
      <c r="D104" s="28"/>
      <c r="E104" s="28"/>
      <c r="F104" s="50"/>
      <c r="G104" s="50"/>
      <c r="H104" s="28"/>
      <c r="I104" s="28"/>
      <c r="J104" s="28"/>
      <c r="K104" s="28"/>
      <c r="L104" s="28"/>
      <c r="M104" s="28"/>
    </row>
    <row r="105" spans="1:13" s="2" customFormat="1" ht="14.25" customHeight="1" x14ac:dyDescent="0.2">
      <c r="A105" s="60" t="s">
        <v>160</v>
      </c>
      <c r="B105" s="19" t="s">
        <v>88</v>
      </c>
      <c r="C105" s="10" t="s">
        <v>139</v>
      </c>
      <c r="D105" s="8" t="s">
        <v>58</v>
      </c>
      <c r="E105" s="45">
        <v>102.1</v>
      </c>
      <c r="F105" s="45">
        <v>103.2</v>
      </c>
      <c r="G105" s="45">
        <v>103.9</v>
      </c>
      <c r="H105" s="45">
        <v>102.8</v>
      </c>
      <c r="I105" s="45">
        <v>104.6</v>
      </c>
      <c r="J105" s="45">
        <v>102.6</v>
      </c>
      <c r="K105" s="45">
        <v>103.4</v>
      </c>
      <c r="L105" s="45">
        <v>102.3</v>
      </c>
      <c r="M105" s="45">
        <v>103</v>
      </c>
    </row>
    <row r="106" spans="1:13" s="2" customFormat="1" ht="30.95" customHeight="1" x14ac:dyDescent="0.2">
      <c r="A106" s="60"/>
      <c r="B106" s="19" t="s">
        <v>90</v>
      </c>
      <c r="C106" s="11" t="s">
        <v>140</v>
      </c>
      <c r="D106" s="8" t="s">
        <v>152</v>
      </c>
      <c r="E106" s="42">
        <v>17106</v>
      </c>
      <c r="F106" s="42">
        <v>18389</v>
      </c>
      <c r="G106" s="42">
        <v>21102</v>
      </c>
      <c r="H106" s="42">
        <v>22832</v>
      </c>
      <c r="I106" s="42">
        <v>22706</v>
      </c>
      <c r="J106" s="42">
        <v>23746</v>
      </c>
      <c r="K106" s="42">
        <v>23614</v>
      </c>
      <c r="L106" s="42">
        <v>24695</v>
      </c>
      <c r="M106" s="42">
        <v>24559</v>
      </c>
    </row>
    <row r="107" spans="1:13" s="2" customFormat="1" ht="10.5" x14ac:dyDescent="0.2">
      <c r="A107" s="60"/>
      <c r="B107" s="19" t="s">
        <v>223</v>
      </c>
      <c r="C107" s="15" t="s">
        <v>141</v>
      </c>
      <c r="D107" s="8" t="s">
        <v>152</v>
      </c>
      <c r="E107" s="42">
        <v>18646</v>
      </c>
      <c r="F107" s="42">
        <v>20044</v>
      </c>
      <c r="G107" s="42">
        <v>23001</v>
      </c>
      <c r="H107" s="42">
        <v>23001</v>
      </c>
      <c r="I107" s="42" t="s">
        <v>259</v>
      </c>
      <c r="J107" s="42" t="s">
        <v>259</v>
      </c>
      <c r="K107" s="42" t="s">
        <v>259</v>
      </c>
      <c r="L107" s="42" t="s">
        <v>259</v>
      </c>
      <c r="M107" s="42" t="s">
        <v>259</v>
      </c>
    </row>
    <row r="108" spans="1:13" s="2" customFormat="1" ht="10.5" x14ac:dyDescent="0.2">
      <c r="A108" s="60"/>
      <c r="B108" s="19" t="s">
        <v>224</v>
      </c>
      <c r="C108" s="15" t="s">
        <v>142</v>
      </c>
      <c r="D108" s="8" t="s">
        <v>152</v>
      </c>
      <c r="E108" s="42">
        <v>14711</v>
      </c>
      <c r="F108" s="42">
        <v>15815</v>
      </c>
      <c r="G108" s="42">
        <v>18148</v>
      </c>
      <c r="H108" s="42">
        <v>18148</v>
      </c>
      <c r="I108" s="42" t="s">
        <v>259</v>
      </c>
      <c r="J108" s="42" t="s">
        <v>259</v>
      </c>
      <c r="K108" s="42" t="s">
        <v>259</v>
      </c>
      <c r="L108" s="42" t="s">
        <v>259</v>
      </c>
      <c r="M108" s="42" t="s">
        <v>259</v>
      </c>
    </row>
    <row r="109" spans="1:13" s="2" customFormat="1" ht="10.5" x14ac:dyDescent="0.2">
      <c r="A109" s="60"/>
      <c r="B109" s="19" t="s">
        <v>225</v>
      </c>
      <c r="C109" s="15" t="s">
        <v>143</v>
      </c>
      <c r="D109" s="8" t="s">
        <v>152</v>
      </c>
      <c r="E109" s="42">
        <v>18210</v>
      </c>
      <c r="F109" s="42">
        <v>18938</v>
      </c>
      <c r="G109" s="42">
        <v>20469</v>
      </c>
      <c r="H109" s="42">
        <v>20469</v>
      </c>
      <c r="I109" s="42" t="s">
        <v>259</v>
      </c>
      <c r="J109" s="42" t="s">
        <v>259</v>
      </c>
      <c r="K109" s="42" t="s">
        <v>259</v>
      </c>
      <c r="L109" s="42" t="s">
        <v>259</v>
      </c>
      <c r="M109" s="42" t="s">
        <v>259</v>
      </c>
    </row>
    <row r="110" spans="1:13" s="2" customFormat="1" ht="31.5" x14ac:dyDescent="0.2">
      <c r="A110" s="38"/>
      <c r="B110" s="19" t="s">
        <v>93</v>
      </c>
      <c r="C110" s="39" t="s">
        <v>166</v>
      </c>
      <c r="D110" s="8" t="s">
        <v>165</v>
      </c>
      <c r="E110" s="43">
        <v>13824</v>
      </c>
      <c r="F110" s="43">
        <v>13915</v>
      </c>
      <c r="G110" s="43">
        <f>F110*100.5/100</f>
        <v>13984.575000000001</v>
      </c>
      <c r="H110" s="43">
        <f>G110*100.3/100</f>
        <v>14026.528725</v>
      </c>
      <c r="I110" s="43">
        <f>G110*100.8/100</f>
        <v>14096.451600000002</v>
      </c>
      <c r="J110" s="43">
        <f>H110*100.9/100</f>
        <v>14152.767483525002</v>
      </c>
      <c r="K110" s="43">
        <f>I110*101.1/100</f>
        <v>14251.512567600003</v>
      </c>
      <c r="L110" s="43">
        <f>J110*101.2/100</f>
        <v>14322.600693327302</v>
      </c>
      <c r="M110" s="43">
        <f>K110*101.3/100</f>
        <v>14436.782230978801</v>
      </c>
    </row>
    <row r="111" spans="1:13" s="2" customFormat="1" ht="21" x14ac:dyDescent="0.2">
      <c r="A111" s="38"/>
      <c r="B111" s="19" t="s">
        <v>95</v>
      </c>
      <c r="C111" s="39" t="s">
        <v>167</v>
      </c>
      <c r="D111" s="8" t="s">
        <v>168</v>
      </c>
      <c r="E111" s="42">
        <v>198.86</v>
      </c>
      <c r="F111" s="42">
        <v>200.35</v>
      </c>
      <c r="G111" s="42">
        <f>F111*100.4/100</f>
        <v>201.1514</v>
      </c>
      <c r="H111" s="42">
        <f>G111*100.3/100</f>
        <v>201.75485419999998</v>
      </c>
      <c r="I111" s="42">
        <f>G111*100.8/100</f>
        <v>202.76061119999997</v>
      </c>
      <c r="J111" s="42">
        <f>H111*100.9/100</f>
        <v>203.57064788779999</v>
      </c>
      <c r="K111" s="42">
        <f>I111*101.1/100</f>
        <v>204.99097792319998</v>
      </c>
      <c r="L111" s="42">
        <f>J111*101.2/100</f>
        <v>206.01349566245361</v>
      </c>
      <c r="M111" s="42">
        <f>K111*101.3/100</f>
        <v>207.65586063620157</v>
      </c>
    </row>
    <row r="112" spans="1:13" s="2" customFormat="1" ht="21" customHeight="1" x14ac:dyDescent="0.2">
      <c r="A112" s="37" t="s">
        <v>163</v>
      </c>
      <c r="B112" s="19" t="s">
        <v>97</v>
      </c>
      <c r="C112" s="11" t="s">
        <v>164</v>
      </c>
      <c r="D112" s="8" t="s">
        <v>165</v>
      </c>
      <c r="E112" s="43" t="s">
        <v>259</v>
      </c>
      <c r="F112" s="43" t="s">
        <v>259</v>
      </c>
      <c r="G112" s="43" t="s">
        <v>259</v>
      </c>
      <c r="H112" s="43" t="s">
        <v>259</v>
      </c>
      <c r="I112" s="43" t="s">
        <v>259</v>
      </c>
      <c r="J112" s="43" t="s">
        <v>259</v>
      </c>
      <c r="K112" s="43" t="s">
        <v>259</v>
      </c>
      <c r="L112" s="43" t="s">
        <v>259</v>
      </c>
      <c r="M112" s="43" t="s">
        <v>259</v>
      </c>
    </row>
    <row r="113" spans="1:13" s="2" customFormat="1" ht="10.5" x14ac:dyDescent="0.2">
      <c r="A113" s="34"/>
      <c r="B113" s="26" t="s">
        <v>226</v>
      </c>
      <c r="C113" s="27" t="s">
        <v>144</v>
      </c>
      <c r="D113" s="28"/>
      <c r="E113" s="28"/>
      <c r="F113" s="50"/>
      <c r="G113" s="50"/>
      <c r="H113" s="28"/>
      <c r="I113" s="28"/>
      <c r="J113" s="28"/>
      <c r="K113" s="28"/>
      <c r="L113" s="28"/>
      <c r="M113" s="28"/>
    </row>
    <row r="114" spans="1:13" s="2" customFormat="1" ht="10.5" x14ac:dyDescent="0.2">
      <c r="A114" s="60" t="s">
        <v>160</v>
      </c>
      <c r="B114" s="19" t="s">
        <v>106</v>
      </c>
      <c r="C114" s="23" t="s">
        <v>145</v>
      </c>
      <c r="D114" s="1" t="s">
        <v>158</v>
      </c>
      <c r="E114" s="45">
        <v>13.58</v>
      </c>
      <c r="F114" s="45">
        <v>13.686999999999999</v>
      </c>
      <c r="G114" s="45">
        <v>13.686999999999999</v>
      </c>
      <c r="H114" s="45">
        <f>G114*98.5/100</f>
        <v>13.481695</v>
      </c>
      <c r="I114" s="45">
        <f>G114*98.7/100</f>
        <v>13.509069</v>
      </c>
      <c r="J114" s="45">
        <f>H114*98.6/100</f>
        <v>13.292951269999998</v>
      </c>
      <c r="K114" s="45">
        <f>I114*98.8/100</f>
        <v>13.346960171999999</v>
      </c>
      <c r="L114" s="45">
        <f>J114*98.6/100</f>
        <v>13.106849952219997</v>
      </c>
      <c r="M114" s="45">
        <f>K114*98.8/100</f>
        <v>13.186796649935999</v>
      </c>
    </row>
    <row r="115" spans="1:13" s="2" customFormat="1" ht="21" x14ac:dyDescent="0.2">
      <c r="A115" s="60"/>
      <c r="B115" s="19" t="s">
        <v>107</v>
      </c>
      <c r="C115" s="23" t="s">
        <v>266</v>
      </c>
      <c r="D115" s="1" t="s">
        <v>158</v>
      </c>
      <c r="E115" s="45">
        <v>12.664</v>
      </c>
      <c r="F115" s="45">
        <f>E115*100.1/100</f>
        <v>12.676663999999999</v>
      </c>
      <c r="G115" s="45">
        <f>F115*99.6/100</f>
        <v>12.625957343999998</v>
      </c>
      <c r="H115" s="45">
        <f>G115*99.7/100</f>
        <v>12.588079471967999</v>
      </c>
      <c r="I115" s="45">
        <f>G115*100.4/100</f>
        <v>12.676461173376</v>
      </c>
      <c r="J115" s="45">
        <f>H115*99.8/100</f>
        <v>12.562903313024062</v>
      </c>
      <c r="K115" s="45">
        <f>I115*100.6/100</f>
        <v>12.752519940416255</v>
      </c>
      <c r="L115" s="45">
        <f>I115*99.9/100</f>
        <v>12.663784712202624</v>
      </c>
      <c r="M115" s="45">
        <f>K115*100.7/100</f>
        <v>12.841787579999169</v>
      </c>
    </row>
    <row r="116" spans="1:13" s="2" customFormat="1" ht="10.5" x14ac:dyDescent="0.2">
      <c r="A116" s="60"/>
      <c r="B116" s="19" t="s">
        <v>227</v>
      </c>
      <c r="C116" s="15" t="s">
        <v>262</v>
      </c>
      <c r="D116" s="1" t="s">
        <v>158</v>
      </c>
      <c r="E116" s="45">
        <v>12.42</v>
      </c>
      <c r="F116" s="45">
        <f>E116*99.8/100</f>
        <v>12.395159999999999</v>
      </c>
      <c r="G116" s="45">
        <f>F116*99.6/100</f>
        <v>12.345579359999999</v>
      </c>
      <c r="H116" s="45">
        <f>G116*98.5/100</f>
        <v>12.160395669599998</v>
      </c>
      <c r="I116" s="45">
        <f>G116*98.6/100</f>
        <v>12.17274124896</v>
      </c>
      <c r="J116" s="45">
        <f>H116*100.3/100</f>
        <v>12.196876856608796</v>
      </c>
      <c r="K116" s="45">
        <f>I116*100.4/100</f>
        <v>12.221432213955842</v>
      </c>
      <c r="L116" s="45">
        <f>J116*100.5/100</f>
        <v>12.257861240891838</v>
      </c>
      <c r="M116" s="45">
        <f>K116*100.7/100</f>
        <v>12.306982239453532</v>
      </c>
    </row>
    <row r="117" spans="1:13" s="2" customFormat="1" ht="10.5" x14ac:dyDescent="0.2">
      <c r="A117" s="60"/>
      <c r="B117" s="19" t="s">
        <v>228</v>
      </c>
      <c r="C117" s="15" t="s">
        <v>159</v>
      </c>
      <c r="D117" s="1" t="s">
        <v>158</v>
      </c>
      <c r="E117" s="45" t="s">
        <v>259</v>
      </c>
      <c r="F117" s="45" t="s">
        <v>259</v>
      </c>
      <c r="G117" s="45" t="s">
        <v>259</v>
      </c>
      <c r="H117" s="45" t="s">
        <v>259</v>
      </c>
      <c r="I117" s="46" t="s">
        <v>259</v>
      </c>
      <c r="J117" s="46" t="s">
        <v>259</v>
      </c>
      <c r="K117" s="46" t="s">
        <v>259</v>
      </c>
      <c r="L117" s="46" t="s">
        <v>259</v>
      </c>
      <c r="M117" s="46" t="s">
        <v>259</v>
      </c>
    </row>
    <row r="118" spans="1:13" s="2" customFormat="1" ht="19.5" customHeight="1" x14ac:dyDescent="0.2">
      <c r="A118" s="60"/>
      <c r="B118" s="19" t="s">
        <v>229</v>
      </c>
      <c r="C118" s="24" t="s">
        <v>264</v>
      </c>
      <c r="D118" s="1" t="s">
        <v>158</v>
      </c>
      <c r="E118" s="45">
        <f t="shared" ref="E118" si="6">E119+E120</f>
        <v>1.4</v>
      </c>
      <c r="F118" s="45">
        <f>F119+F120</f>
        <v>1.38</v>
      </c>
      <c r="G118" s="45">
        <f t="shared" ref="G118:M118" si="7">G119+G120</f>
        <v>1.3911899999999997</v>
      </c>
      <c r="H118" s="45">
        <f t="shared" si="7"/>
        <v>1.3833221499999997</v>
      </c>
      <c r="I118" s="45">
        <f t="shared" si="7"/>
        <v>1.3957045299999997</v>
      </c>
      <c r="J118" s="45">
        <f t="shared" si="7"/>
        <v>1.3773956398999996</v>
      </c>
      <c r="K118" s="45">
        <f t="shared" si="7"/>
        <v>1.3947960756399997</v>
      </c>
      <c r="L118" s="45">
        <f t="shared" si="7"/>
        <v>1.3706991009413996</v>
      </c>
      <c r="M118" s="45">
        <f t="shared" si="7"/>
        <v>1.3876569227323197</v>
      </c>
    </row>
    <row r="119" spans="1:13" s="2" customFormat="1" ht="10.5" x14ac:dyDescent="0.2">
      <c r="A119" s="60"/>
      <c r="B119" s="25" t="s">
        <v>230</v>
      </c>
      <c r="C119" s="16" t="s">
        <v>263</v>
      </c>
      <c r="D119" s="1" t="s">
        <v>158</v>
      </c>
      <c r="E119" s="45">
        <v>1.22</v>
      </c>
      <c r="F119" s="45">
        <v>1.19</v>
      </c>
      <c r="G119" s="45">
        <f>F119*100.1/100</f>
        <v>1.1911899999999997</v>
      </c>
      <c r="H119" s="45">
        <f>G119*98.5/100</f>
        <v>1.1733221499999997</v>
      </c>
      <c r="I119" s="45">
        <f>G119*98.7/100</f>
        <v>1.1757045299999997</v>
      </c>
      <c r="J119" s="45">
        <f>H119*98.6/100</f>
        <v>1.1568956398999997</v>
      </c>
      <c r="K119" s="45">
        <f>I119*98.8/100</f>
        <v>1.1615960756399997</v>
      </c>
      <c r="L119" s="45">
        <f>J119*98.6/100</f>
        <v>1.1406991009413996</v>
      </c>
      <c r="M119" s="45">
        <f>K119*98.8/100</f>
        <v>1.1476569227323197</v>
      </c>
    </row>
    <row r="120" spans="1:13" s="2" customFormat="1" ht="10.5" x14ac:dyDescent="0.2">
      <c r="A120" s="60"/>
      <c r="B120" s="25" t="s">
        <v>231</v>
      </c>
      <c r="C120" s="16" t="s">
        <v>265</v>
      </c>
      <c r="D120" s="1" t="s">
        <v>158</v>
      </c>
      <c r="E120" s="45">
        <v>0.18</v>
      </c>
      <c r="F120" s="45">
        <v>0.19</v>
      </c>
      <c r="G120" s="45">
        <v>0.2</v>
      </c>
      <c r="H120" s="45">
        <v>0.21</v>
      </c>
      <c r="I120" s="45">
        <v>0.22</v>
      </c>
      <c r="J120" s="45">
        <f>H120*105/100</f>
        <v>0.2205</v>
      </c>
      <c r="K120" s="45">
        <f>I120*106/100</f>
        <v>0.23319999999999999</v>
      </c>
      <c r="L120" s="45">
        <v>0.23</v>
      </c>
      <c r="M120" s="45">
        <v>0.24</v>
      </c>
    </row>
    <row r="121" spans="1:13" s="2" customFormat="1" ht="31.5" x14ac:dyDescent="0.2">
      <c r="A121" s="60"/>
      <c r="B121" s="19" t="s">
        <v>109</v>
      </c>
      <c r="C121" s="11" t="s">
        <v>255</v>
      </c>
      <c r="D121" s="8" t="s">
        <v>146</v>
      </c>
      <c r="E121" s="42">
        <v>66827.199999999997</v>
      </c>
      <c r="F121" s="42">
        <v>81576.100000000006</v>
      </c>
      <c r="G121" s="42">
        <v>89081.5</v>
      </c>
      <c r="H121" s="42">
        <f>G121*H122/100</f>
        <v>95406.286500000002</v>
      </c>
      <c r="I121" s="42">
        <f>G121*I122/100</f>
        <v>89972.315000000002</v>
      </c>
      <c r="J121" s="42">
        <f>H121*J122/100</f>
        <v>97791.443662500009</v>
      </c>
      <c r="K121" s="42">
        <f>I121*K122/100</f>
        <v>92671.484450000004</v>
      </c>
      <c r="L121" s="42">
        <f>J121*L122/100</f>
        <v>101116.35274702501</v>
      </c>
      <c r="M121" s="42">
        <f>K121*M122/100</f>
        <v>96378.343827999997</v>
      </c>
    </row>
    <row r="122" spans="1:13" s="2" customFormat="1" ht="31.5" x14ac:dyDescent="0.2">
      <c r="A122" s="60"/>
      <c r="B122" s="19" t="s">
        <v>110</v>
      </c>
      <c r="C122" s="11" t="s">
        <v>256</v>
      </c>
      <c r="D122" s="8" t="s">
        <v>58</v>
      </c>
      <c r="E122" s="45">
        <v>111.48</v>
      </c>
      <c r="F122" s="45">
        <v>122.1</v>
      </c>
      <c r="G122" s="45">
        <v>109.3</v>
      </c>
      <c r="H122" s="45">
        <v>107.1</v>
      </c>
      <c r="I122" s="45">
        <v>101</v>
      </c>
      <c r="J122" s="45">
        <v>102.5</v>
      </c>
      <c r="K122" s="45">
        <v>103</v>
      </c>
      <c r="L122" s="45">
        <v>103.4</v>
      </c>
      <c r="M122" s="45">
        <v>104</v>
      </c>
    </row>
    <row r="123" spans="1:13" s="2" customFormat="1" ht="10.5" x14ac:dyDescent="0.2">
      <c r="A123" s="60"/>
      <c r="B123" s="19" t="s">
        <v>112</v>
      </c>
      <c r="C123" s="11" t="s">
        <v>271</v>
      </c>
      <c r="D123" s="48" t="s">
        <v>272</v>
      </c>
      <c r="E123" s="45" t="s">
        <v>259</v>
      </c>
      <c r="F123" s="45" t="s">
        <v>259</v>
      </c>
      <c r="G123" s="45" t="s">
        <v>259</v>
      </c>
      <c r="H123" s="45" t="s">
        <v>259</v>
      </c>
      <c r="I123" s="45" t="s">
        <v>259</v>
      </c>
      <c r="J123" s="45" t="s">
        <v>259</v>
      </c>
      <c r="K123" s="45" t="s">
        <v>259</v>
      </c>
      <c r="L123" s="45" t="s">
        <v>259</v>
      </c>
      <c r="M123" s="45" t="s">
        <v>259</v>
      </c>
    </row>
    <row r="124" spans="1:13" s="2" customFormat="1" ht="18.75" customHeight="1" x14ac:dyDescent="0.2">
      <c r="A124" s="60"/>
      <c r="B124" s="19" t="s">
        <v>114</v>
      </c>
      <c r="C124" s="11" t="s">
        <v>257</v>
      </c>
      <c r="D124" s="8" t="s">
        <v>58</v>
      </c>
      <c r="E124" s="45">
        <v>108.4</v>
      </c>
      <c r="F124" s="55">
        <v>109.2</v>
      </c>
      <c r="G124" s="55">
        <v>105.1</v>
      </c>
      <c r="H124" s="45">
        <v>105</v>
      </c>
      <c r="I124" s="45">
        <v>106</v>
      </c>
      <c r="J124" s="45">
        <v>106.1</v>
      </c>
      <c r="K124" s="45">
        <v>107</v>
      </c>
      <c r="L124" s="45">
        <v>106.1</v>
      </c>
      <c r="M124" s="45">
        <v>107</v>
      </c>
    </row>
    <row r="125" spans="1:13" s="2" customFormat="1" ht="19.5" customHeight="1" x14ac:dyDescent="0.2">
      <c r="A125" s="63"/>
      <c r="B125" s="19" t="s">
        <v>116</v>
      </c>
      <c r="C125" s="11" t="s">
        <v>147</v>
      </c>
      <c r="D125" s="8" t="s">
        <v>94</v>
      </c>
      <c r="E125" s="45">
        <f t="shared" ref="E125:F125" si="8">E126/E114*100</f>
        <v>1.3622974963181149</v>
      </c>
      <c r="F125" s="55">
        <f t="shared" si="8"/>
        <v>1.1105428508803976</v>
      </c>
      <c r="G125" s="55">
        <f t="shared" ref="G125:M125" si="9">G126/G114*100</f>
        <v>1.1251552568130343</v>
      </c>
      <c r="H125" s="45">
        <f t="shared" si="9"/>
        <v>1.1320089944179865</v>
      </c>
      <c r="I125" s="45">
        <f t="shared" si="9"/>
        <v>1.113755507503885</v>
      </c>
      <c r="J125" s="45">
        <f t="shared" si="9"/>
        <v>1.1343051587068669</v>
      </c>
      <c r="K125" s="45">
        <f t="shared" si="9"/>
        <v>1.0945916981642432</v>
      </c>
      <c r="L125" s="45">
        <f t="shared" si="9"/>
        <v>1.12855310414953</v>
      </c>
      <c r="M125" s="45">
        <f t="shared" si="9"/>
        <v>1.0646787671415361</v>
      </c>
    </row>
    <row r="126" spans="1:13" s="2" customFormat="1" ht="30.75" customHeight="1" x14ac:dyDescent="0.2">
      <c r="A126" s="63"/>
      <c r="B126" s="19" t="s">
        <v>270</v>
      </c>
      <c r="C126" s="11" t="s">
        <v>148</v>
      </c>
      <c r="D126" s="8" t="s">
        <v>31</v>
      </c>
      <c r="E126" s="44">
        <v>0.185</v>
      </c>
      <c r="F126" s="53">
        <v>0.152</v>
      </c>
      <c r="G126" s="53">
        <v>0.154</v>
      </c>
      <c r="H126" s="44">
        <f>G126*99.1/100</f>
        <v>0.15261399999999997</v>
      </c>
      <c r="I126" s="44">
        <f>G126*97.7/100</f>
        <v>0.15045800000000001</v>
      </c>
      <c r="J126" s="44">
        <f>H126*98.8/100</f>
        <v>0.15078263199999997</v>
      </c>
      <c r="K126" s="44">
        <f>I126*97.1/100</f>
        <v>0.14609471799999998</v>
      </c>
      <c r="L126" s="44">
        <f>J126*98.1/100</f>
        <v>0.14791776199199996</v>
      </c>
      <c r="M126" s="44">
        <f>K126*96.1/100</f>
        <v>0.14039702399799997</v>
      </c>
    </row>
    <row r="127" spans="1:13" s="2" customFormat="1" x14ac:dyDescent="0.2">
      <c r="A127" s="34"/>
      <c r="B127" s="64" t="s">
        <v>156</v>
      </c>
      <c r="C127" s="65"/>
      <c r="D127" s="65"/>
      <c r="E127" s="65"/>
      <c r="F127" s="65"/>
      <c r="G127" s="65"/>
      <c r="H127" s="65"/>
      <c r="I127" s="65"/>
      <c r="J127" s="65"/>
      <c r="K127" s="65"/>
      <c r="L127" s="65"/>
      <c r="M127" s="65"/>
    </row>
    <row r="128" spans="1:13" s="3" customFormat="1" x14ac:dyDescent="0.2">
      <c r="A128" s="5"/>
      <c r="B128" s="66"/>
      <c r="C128" s="67"/>
      <c r="D128" s="67"/>
      <c r="E128" s="67"/>
      <c r="F128" s="67"/>
      <c r="G128" s="67"/>
      <c r="H128" s="67"/>
      <c r="I128" s="67"/>
      <c r="J128" s="67"/>
      <c r="K128" s="67"/>
      <c r="L128" s="67"/>
      <c r="M128" s="67"/>
    </row>
    <row r="129" spans="1:13" s="3" customFormat="1" x14ac:dyDescent="0.2">
      <c r="A129" s="5"/>
      <c r="B129" s="31"/>
      <c r="C129" s="32"/>
      <c r="D129" s="32"/>
      <c r="E129" s="32"/>
      <c r="F129" s="32"/>
      <c r="G129" s="32"/>
      <c r="H129" s="32"/>
      <c r="I129" s="32"/>
      <c r="J129" s="32"/>
      <c r="K129" s="32"/>
      <c r="L129" s="32"/>
      <c r="M129" s="32"/>
    </row>
    <row r="130" spans="1:13" x14ac:dyDescent="0.2">
      <c r="B130" s="61"/>
      <c r="C130" s="61"/>
    </row>
    <row r="131" spans="1:13" x14ac:dyDescent="0.2">
      <c r="B131" s="61"/>
      <c r="C131" s="61"/>
    </row>
  </sheetData>
  <mergeCells count="32">
    <mergeCell ref="A40:A42"/>
    <mergeCell ref="B4:M4"/>
    <mergeCell ref="H6:M6"/>
    <mergeCell ref="E7:E9"/>
    <mergeCell ref="F7:F9"/>
    <mergeCell ref="G7:G9"/>
    <mergeCell ref="J7:K7"/>
    <mergeCell ref="L8:M8"/>
    <mergeCell ref="C6:C9"/>
    <mergeCell ref="B6:B9"/>
    <mergeCell ref="L7:M7"/>
    <mergeCell ref="H8:I8"/>
    <mergeCell ref="D6:D9"/>
    <mergeCell ref="H7:I7"/>
    <mergeCell ref="J8:K8"/>
    <mergeCell ref="E6:F6"/>
    <mergeCell ref="J1:M1"/>
    <mergeCell ref="J2:M2"/>
    <mergeCell ref="A11:A18"/>
    <mergeCell ref="B131:C131"/>
    <mergeCell ref="A45:A52"/>
    <mergeCell ref="A54:A56"/>
    <mergeCell ref="A58:A71"/>
    <mergeCell ref="A73:A103"/>
    <mergeCell ref="A125:A126"/>
    <mergeCell ref="B127:M127"/>
    <mergeCell ref="A105:A109"/>
    <mergeCell ref="A20:A29"/>
    <mergeCell ref="B128:M128"/>
    <mergeCell ref="B130:C130"/>
    <mergeCell ref="A33:A38"/>
    <mergeCell ref="A114:A124"/>
  </mergeCells>
  <pageMargins left="1.1811023622047245" right="0.98425196850393704" top="1.1811023622047245" bottom="0.98425196850393704" header="0.70866141732283472" footer="0.51181102362204722"/>
  <pageSetup paperSize="9" scale="87" fitToHeight="0" orientation="landscape" r:id="rId1"/>
  <headerFooter alignWithMargins="0">
    <oddHeader>&amp;R&amp;"Times New Roman,обычный"&amp;7Подготовлено с использованием &amp;"Times New Roman,полужирный"КонсультантПлюс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2-П СВОД</vt:lpstr>
      <vt:lpstr>'2-П СВОД'!Заголовки_для_печати</vt:lpstr>
      <vt:lpstr>'2-П СВОД'!Область_печати</vt:lpstr>
    </vt:vector>
  </TitlesOfParts>
  <Company>КонсультантПлюс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КонсультантПлюс</dc:creator>
  <cp:lastModifiedBy>Каменецкая ВВ</cp:lastModifiedBy>
  <cp:lastPrinted>2025-11-11T06:12:15Z</cp:lastPrinted>
  <dcterms:created xsi:type="dcterms:W3CDTF">2018-10-15T12:06:40Z</dcterms:created>
  <dcterms:modified xsi:type="dcterms:W3CDTF">2025-11-12T02:23:59Z</dcterms:modified>
</cp:coreProperties>
</file>