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1" l="1"/>
  <c r="J77" i="1" s="1"/>
  <c r="G77" i="1"/>
  <c r="F77" i="1"/>
  <c r="I76" i="1"/>
  <c r="J76" i="1" s="1"/>
  <c r="G76" i="1"/>
  <c r="F76" i="1"/>
  <c r="E75" i="1"/>
  <c r="K76" i="1" s="1"/>
  <c r="I72" i="1"/>
  <c r="J72" i="1" s="1"/>
  <c r="G72" i="1"/>
  <c r="F72" i="1"/>
  <c r="E71" i="1"/>
  <c r="I67" i="1"/>
  <c r="J67" i="1" s="1"/>
  <c r="G67" i="1"/>
  <c r="F67" i="1"/>
  <c r="I66" i="1"/>
  <c r="J66" i="1" s="1"/>
  <c r="G66" i="1"/>
  <c r="F66" i="1"/>
  <c r="E65" i="1"/>
  <c r="K66" i="1" s="1"/>
  <c r="I63" i="1"/>
  <c r="J63" i="1" s="1"/>
  <c r="G63" i="1"/>
  <c r="F63" i="1"/>
  <c r="G62" i="1"/>
  <c r="F62" i="1"/>
  <c r="I61" i="1"/>
  <c r="J61" i="1" s="1"/>
  <c r="G61" i="1"/>
  <c r="F61" i="1"/>
  <c r="I60" i="1"/>
  <c r="J60" i="1" s="1"/>
  <c r="G60" i="1"/>
  <c r="F60" i="1"/>
  <c r="E59" i="1"/>
  <c r="K60" i="1" s="1"/>
  <c r="I57" i="1"/>
  <c r="J57" i="1" s="1"/>
  <c r="G57" i="1"/>
  <c r="F57" i="1"/>
  <c r="I55" i="1"/>
  <c r="J55" i="1" s="1"/>
  <c r="G55" i="1"/>
  <c r="F55" i="1"/>
  <c r="I54" i="1"/>
  <c r="J54" i="1" s="1"/>
  <c r="G54" i="1"/>
  <c r="F54" i="1"/>
  <c r="E53" i="1"/>
  <c r="K54" i="1" s="1"/>
  <c r="G50" i="1"/>
  <c r="F50" i="1"/>
  <c r="I49" i="1"/>
  <c r="J49" i="1" s="1"/>
  <c r="G49" i="1"/>
  <c r="F49" i="1"/>
  <c r="G48" i="1"/>
  <c r="F48" i="1"/>
  <c r="I47" i="1"/>
  <c r="J47" i="1" s="1"/>
  <c r="G47" i="1"/>
  <c r="F47" i="1"/>
  <c r="I46" i="1"/>
  <c r="J46" i="1" s="1"/>
  <c r="G46" i="1"/>
  <c r="F46" i="1"/>
  <c r="E45" i="1"/>
  <c r="K47" i="1" s="1"/>
  <c r="I44" i="1"/>
  <c r="J44" i="1" s="1"/>
  <c r="G44" i="1"/>
  <c r="F44" i="1"/>
  <c r="G43" i="1"/>
  <c r="F43" i="1"/>
  <c r="I42" i="1"/>
  <c r="J42" i="1" s="1"/>
  <c r="G42" i="1"/>
  <c r="F42" i="1"/>
  <c r="I41" i="1"/>
  <c r="J41" i="1" s="1"/>
  <c r="G41" i="1"/>
  <c r="F41" i="1"/>
  <c r="E40" i="1"/>
  <c r="K41" i="1" s="1"/>
  <c r="I39" i="1"/>
  <c r="J39" i="1" s="1"/>
  <c r="G39" i="1"/>
  <c r="F39" i="1"/>
  <c r="I38" i="1"/>
  <c r="J38" i="1" s="1"/>
  <c r="G38" i="1"/>
  <c r="F38" i="1"/>
  <c r="G37" i="1"/>
  <c r="F37" i="1"/>
  <c r="E36" i="1"/>
  <c r="K37" i="1" s="1"/>
  <c r="E37" i="1" s="1"/>
  <c r="H35" i="1"/>
  <c r="I32" i="1"/>
  <c r="J32" i="1" s="1"/>
  <c r="G32" i="1"/>
  <c r="F32" i="1"/>
  <c r="K31" i="1"/>
  <c r="E31" i="1"/>
  <c r="K32" i="1" s="1"/>
  <c r="I28" i="1"/>
  <c r="J28" i="1" s="1"/>
  <c r="G28" i="1"/>
  <c r="F28" i="1"/>
  <c r="K27" i="1"/>
  <c r="E27" i="1"/>
  <c r="K28" i="1" s="1"/>
  <c r="J24" i="1"/>
  <c r="G24" i="1"/>
  <c r="F24" i="1"/>
  <c r="K23" i="1"/>
  <c r="E23" i="1"/>
  <c r="K24" i="1" s="1"/>
  <c r="J20" i="1"/>
  <c r="G20" i="1"/>
  <c r="F20" i="1"/>
  <c r="K19" i="1"/>
  <c r="E19" i="1"/>
  <c r="K20" i="1" s="1"/>
  <c r="J16" i="1"/>
  <c r="G16" i="1"/>
  <c r="F16" i="1"/>
  <c r="K15" i="1"/>
  <c r="E15" i="1"/>
  <c r="K16" i="1" s="1"/>
  <c r="G12" i="1"/>
  <c r="F12" i="1"/>
  <c r="K11" i="1"/>
  <c r="E11" i="1"/>
  <c r="K12" i="1" s="1"/>
  <c r="E44" i="1" l="1"/>
  <c r="E41" i="1"/>
  <c r="E42" i="1"/>
  <c r="E43" i="1"/>
  <c r="E48" i="1"/>
  <c r="E47" i="1"/>
  <c r="E49" i="1"/>
  <c r="E46" i="1"/>
  <c r="E62" i="1"/>
  <c r="E63" i="1"/>
  <c r="E60" i="1"/>
  <c r="E61" i="1"/>
  <c r="E57" i="1"/>
  <c r="E55" i="1"/>
  <c r="E56" i="1" s="1"/>
  <c r="E54" i="1"/>
  <c r="E77" i="1"/>
  <c r="E76" i="1"/>
  <c r="K75" i="1" s="1"/>
  <c r="E67" i="1"/>
  <c r="E66" i="1"/>
  <c r="E35" i="1"/>
  <c r="E69" i="1"/>
  <c r="E39" i="1"/>
  <c r="E38" i="1"/>
  <c r="K36" i="1" s="1"/>
  <c r="K45" i="1" l="1"/>
  <c r="K40" i="1"/>
  <c r="K59" i="1"/>
  <c r="K53" i="1"/>
</calcChain>
</file>

<file path=xl/comments1.xml><?xml version="1.0" encoding="utf-8"?>
<comments xmlns="http://schemas.openxmlformats.org/spreadsheetml/2006/main">
  <authors>
    <author>Автор</author>
  </authors>
  <commentLis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КР.Б (13М)весь + М.Б весь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" authorId="0" shapeId="0">
      <text>
        <r>
          <rPr>
            <sz val="10"/>
            <color indexed="81"/>
            <rFont val="Times New Roman"/>
            <family val="1"/>
            <charset val="204"/>
          </rPr>
          <t>Зарплата КР.Б (ст.211+ст.213)/численность детей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2" authorId="0" shapeId="0">
      <text>
        <r>
          <rPr>
            <sz val="9"/>
            <color indexed="81"/>
            <rFont val="Tahoma"/>
            <family val="2"/>
            <charset val="204"/>
          </rPr>
          <t xml:space="preserve">221+223+225+226+310+310+340-птание+КБ учебные
/численность
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сумма плановую выделенную по М.Б питание 5776503,95руб + план питание Род.плата 19032227,18 руб/ 1152 детей план год=21535,36 средняя
</t>
        </r>
      </text>
    </comment>
    <comment ref="E22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сумма плановую выделенную по М.Б 859266,00руб + план Род.плата 20 648 427,82 руб/ 1218детей план год=17 658,21 средняя
</t>
        </r>
      </text>
    </comment>
    <comment ref="E26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сумма плановую выделенную по М.Б 859266,00руб + план Род.плата 20 648 427,82 руб/ 1218детей план год=17 658,21 средняя
</t>
        </r>
      </text>
    </comment>
    <comment ref="E30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сумма плановую выделенную по М.Б 859266,00руб + план Род.плата 20 648 427,82 руб/ 1218детей план год=17 658,21 средняя
</t>
        </r>
      </text>
    </comment>
    <comment ref="E34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сумма плановую выделенную по М.Б 859266,00руб + план Род.плата 20 648 427,82 руб/ 1218детей план год=17 658,21 средняя
</t>
        </r>
      </text>
    </comment>
  </commentList>
</comments>
</file>

<file path=xl/sharedStrings.xml><?xml version="1.0" encoding="utf-8"?>
<sst xmlns="http://schemas.openxmlformats.org/spreadsheetml/2006/main" count="219" uniqueCount="65">
  <si>
    <t xml:space="preserve">                                                                                                  </t>
  </si>
  <si>
    <t xml:space="preserve">Приложение № 1                                                       </t>
  </si>
  <si>
    <t xml:space="preserve"> </t>
  </si>
  <si>
    <t xml:space="preserve">   Утверждено                                                                   постановлением администрации Дальнереченского городского округа                от     28.01.2025  №  91-па</t>
  </si>
  <si>
    <t>Размер базового норматива затрат на оказание муниципальной услуги муниципальными бюджетными учреждениями образования Дальнереченского городского округа на 2025 год</t>
  </si>
  <si>
    <t>№ п/п</t>
  </si>
  <si>
    <t>Подраздел</t>
  </si>
  <si>
    <t>Наименование муниципальных учреждений, оказывающих муниципальную услугу</t>
  </si>
  <si>
    <t>Реестровый номер по общероссийскому базовому перечню услуг и работ</t>
  </si>
  <si>
    <t>Базовый норматив затрат на оказание муниципальной услуги, руб.</t>
  </si>
  <si>
    <t>в том числе: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</si>
  <si>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руб.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</si>
  <si>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услуги, руб.</t>
  </si>
  <si>
    <t>очередной 2025 год</t>
  </si>
  <si>
    <t>первый год планового периода       2026 год</t>
  </si>
  <si>
    <t>второй год планового периода 2027 год</t>
  </si>
  <si>
    <t>1.</t>
  </si>
  <si>
    <t>0701</t>
  </si>
  <si>
    <t>х</t>
  </si>
  <si>
    <t>Реализация основных общеобразовательных программ дошкольного образования</t>
  </si>
  <si>
    <t>801011О.99.0.БВ24ДН82000</t>
  </si>
  <si>
    <t xml:space="preserve">Присмотр и уход </t>
  </si>
  <si>
    <t>853211О.99.0.БВ19АА56000</t>
  </si>
  <si>
    <t>Присмотр и уход</t>
  </si>
  <si>
    <t>853211О.99.0.БВ19АА14000</t>
  </si>
  <si>
    <t>ИТОГО по дошкольному образованию</t>
  </si>
  <si>
    <t>0702</t>
  </si>
  <si>
    <t>Реализация основных общеобразовательных программ начального общего образования</t>
  </si>
  <si>
    <t>801012О.99.0.БА81АЭ92001</t>
  </si>
  <si>
    <t>Реализация основных общеобразовательных программ основного общего образования</t>
  </si>
  <si>
    <t>802111О.99.0.БА96АЮ58001</t>
  </si>
  <si>
    <t>Реализация основных общеобразовательных программ среднего общего образования</t>
  </si>
  <si>
    <t>802112О.99.0.ББ11АЮ58001</t>
  </si>
  <si>
    <t>Реализация основных общеобразовательных программ основного общего образования (заочная)</t>
  </si>
  <si>
    <t>802111О.99.0.БА96АЮ66001</t>
  </si>
  <si>
    <t>Реализация основных общеобразовательных программсреднего общего образования</t>
  </si>
  <si>
    <t>'853211О.99.0.БВ19АА14000</t>
  </si>
  <si>
    <t>11787000301000109006100</t>
  </si>
  <si>
    <t>Реализация основных общеобразовательных программсреднего общего образования (заочная)</t>
  </si>
  <si>
    <t>802112О.99.0.ББ11АЮ66001</t>
  </si>
  <si>
    <t>ИТОГО по общему образованию</t>
  </si>
  <si>
    <t>0703</t>
  </si>
  <si>
    <t>Реализация дополнительных общеразвивающих программ</t>
  </si>
  <si>
    <t>804200О.99.0.ББ52АИ16000</t>
  </si>
  <si>
    <t>ИТОГО по дополнительному образованию</t>
  </si>
  <si>
    <t>ВСЕГО по типу учреждений (целевой статье)</t>
  </si>
  <si>
    <t>1102</t>
  </si>
  <si>
    <t>МБУ  «ДЮСШ»-объекты спорта</t>
  </si>
  <si>
    <t>Спортивная подготовка по олимпийским видам спорта</t>
  </si>
  <si>
    <t>931900О.99.0.БВ27АА25001</t>
  </si>
  <si>
    <t>931900О.99.0.БВ27АВ15001</t>
  </si>
  <si>
    <t xml:space="preserve">МБДОУ  «Детский сад № 1» с.Лазо Дальнереченского городского округа </t>
  </si>
  <si>
    <t>МБДОУ  «ЦРР-детский сад № 4» Дальнереченского городского округа</t>
  </si>
  <si>
    <t>МБДОУ  «ЦРР-детский сад № 5» Дальнереченского городского округа</t>
  </si>
  <si>
    <t>МБДОУ  «Детский сад № 7» Дальнереченского городского округа</t>
  </si>
  <si>
    <t>МБДОУ  «ЦРР-детский сад № 10» Дальнереченского городского округа</t>
  </si>
  <si>
    <t>МБДОУ  «ЦРР-детский сад № 12» Дальнереченского городского округа</t>
  </si>
  <si>
    <t>МБОУ  «Лицей» Дальнереченского городского округа</t>
  </si>
  <si>
    <t>МБОУ  «СОШ № 2 имени Героя Советского Союза старшего лейтенанта И.И.Стрельникова» Дальнереченского городского округа</t>
  </si>
  <si>
    <t>МБОУ  «Центр образования "Импульс» Дальнереченского городского округа</t>
  </si>
  <si>
    <t>МБОУ "СОШ № 5» Дальнереченского городского округа</t>
  </si>
  <si>
    <t>МБОУ  «СОШ № 6» Дальнереченского городского округа</t>
  </si>
  <si>
    <t>МБОУ   «ООШ № 12» Дальнереченского городского округа</t>
  </si>
  <si>
    <t>МБОУ ДОД «ДЮСШ» Дальнереченского городского округа</t>
  </si>
  <si>
    <t>Приложение                                                               к постановлению администрации Дальнереченского городского округа                         от 18.12.2025  № 1451-па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</si>
</sst>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0"/>
    <numFmt numFmtId="166" formatCode="0.0000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1"/>
      <name val="Times New Roman"/>
      <family val="1"/>
      <charset val="204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D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justify"/>
    </xf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 applyProtection="1">
      <alignment vertical="top" wrapText="1"/>
    </xf>
    <xf numFmtId="1" fontId="6" fillId="0" borderId="1" xfId="0" quotePrefix="1" applyNumberFormat="1" applyFont="1" applyFill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9" fillId="2" borderId="0" xfId="0" applyNumberFormat="1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4" fontId="7" fillId="0" borderId="1" xfId="0" quotePrefix="1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4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9" fillId="0" borderId="0" xfId="0" applyNumberFormat="1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horizontal="center" vertical="top" wrapText="1"/>
    </xf>
    <xf numFmtId="0" fontId="7" fillId="0" borderId="1" xfId="0" quotePrefix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7" fillId="0" borderId="1" xfId="1" applyFont="1" applyFill="1" applyBorder="1" applyAlignment="1" applyProtection="1">
      <alignment vertical="top"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6" fontId="6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0" quotePrefix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7" fillId="0" borderId="1" xfId="0" quotePrefix="1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quotePrefix="1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7"/>
  <sheetViews>
    <sheetView tabSelected="1" zoomScale="80" zoomScaleNormal="80" workbookViewId="0">
      <selection activeCell="H2" sqref="H2:J2"/>
    </sheetView>
  </sheetViews>
  <sheetFormatPr defaultRowHeight="15" x14ac:dyDescent="0.25"/>
  <cols>
    <col min="3" max="3" width="28.5703125" customWidth="1"/>
    <col min="4" max="4" width="35.5703125" customWidth="1"/>
    <col min="5" max="5" width="28.28515625" customWidth="1"/>
    <col min="6" max="6" width="29.85546875" customWidth="1"/>
    <col min="7" max="7" width="25.140625" customWidth="1"/>
    <col min="8" max="8" width="21.85546875" customWidth="1"/>
    <col min="9" max="9" width="20.5703125" customWidth="1"/>
    <col min="10" max="10" width="22" customWidth="1"/>
    <col min="11" max="11" width="29" customWidth="1"/>
  </cols>
  <sheetData>
    <row r="1" spans="1:11" ht="117.75" customHeight="1" x14ac:dyDescent="0.25">
      <c r="A1" s="1"/>
      <c r="B1" s="2"/>
      <c r="C1" s="2"/>
      <c r="D1" s="2"/>
      <c r="E1" s="2"/>
      <c r="F1" s="3" t="s">
        <v>0</v>
      </c>
      <c r="G1" s="48"/>
      <c r="H1" s="54" t="s">
        <v>64</v>
      </c>
      <c r="I1" s="54"/>
      <c r="J1" s="54"/>
      <c r="K1" s="1"/>
    </row>
    <row r="2" spans="1:11" ht="44.25" customHeight="1" x14ac:dyDescent="0.25">
      <c r="A2" s="1"/>
      <c r="B2" s="2"/>
      <c r="C2" s="2"/>
      <c r="D2" s="2"/>
      <c r="E2" s="2"/>
      <c r="F2" s="3"/>
      <c r="H2" s="55" t="s">
        <v>1</v>
      </c>
      <c r="I2" s="55"/>
      <c r="J2" s="55"/>
      <c r="K2" s="1"/>
    </row>
    <row r="3" spans="1:11" ht="116.25" customHeight="1" x14ac:dyDescent="0.25">
      <c r="A3" s="1"/>
      <c r="B3" s="2"/>
      <c r="C3" s="2"/>
      <c r="D3" s="2"/>
      <c r="E3" s="2"/>
      <c r="F3" s="2" t="s">
        <v>2</v>
      </c>
      <c r="G3" s="49"/>
      <c r="H3" s="56" t="s">
        <v>3</v>
      </c>
      <c r="I3" s="56"/>
      <c r="J3" s="56"/>
      <c r="K3" s="1"/>
    </row>
    <row r="4" spans="1:11" ht="18.75" x14ac:dyDescent="0.3">
      <c r="A4" s="4"/>
      <c r="B4" s="63"/>
      <c r="C4" s="63"/>
      <c r="D4" s="63"/>
      <c r="E4" s="63"/>
      <c r="F4" s="63"/>
      <c r="G4" s="63"/>
      <c r="H4" s="4"/>
      <c r="I4" s="4"/>
      <c r="J4" s="4"/>
      <c r="K4" s="4"/>
    </row>
    <row r="5" spans="1:11" ht="18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26.25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4"/>
    </row>
    <row r="7" spans="1:11" ht="18.75" x14ac:dyDescent="0.3">
      <c r="A7" s="4"/>
      <c r="B7" s="4"/>
      <c r="C7" s="4"/>
      <c r="D7" s="5"/>
      <c r="E7" s="6"/>
      <c r="F7" s="6"/>
      <c r="G7" s="6"/>
      <c r="H7" s="6"/>
      <c r="I7" s="6"/>
      <c r="J7" s="7"/>
      <c r="K7" s="4"/>
    </row>
    <row r="8" spans="1:11" ht="18.75" x14ac:dyDescent="0.25">
      <c r="A8" s="64" t="s">
        <v>5</v>
      </c>
      <c r="B8" s="64" t="s">
        <v>6</v>
      </c>
      <c r="C8" s="65" t="s">
        <v>7</v>
      </c>
      <c r="D8" s="64" t="s">
        <v>8</v>
      </c>
      <c r="E8" s="65" t="s">
        <v>9</v>
      </c>
      <c r="F8" s="57" t="s">
        <v>10</v>
      </c>
      <c r="G8" s="57"/>
      <c r="H8" s="58"/>
      <c r="I8" s="58"/>
      <c r="J8" s="58"/>
      <c r="K8" s="2"/>
    </row>
    <row r="9" spans="1:11" ht="192" customHeight="1" x14ac:dyDescent="0.25">
      <c r="A9" s="64"/>
      <c r="B9" s="64"/>
      <c r="C9" s="65"/>
      <c r="D9" s="64"/>
      <c r="E9" s="65"/>
      <c r="F9" s="8" t="s">
        <v>11</v>
      </c>
      <c r="G9" s="8" t="s">
        <v>12</v>
      </c>
      <c r="H9" s="9" t="s">
        <v>13</v>
      </c>
      <c r="I9" s="9" t="s">
        <v>14</v>
      </c>
      <c r="J9" s="9" t="s">
        <v>15</v>
      </c>
      <c r="K9" s="2"/>
    </row>
    <row r="10" spans="1:11" ht="18.75" x14ac:dyDescent="0.25">
      <c r="A10" s="8">
        <v>1</v>
      </c>
      <c r="B10" s="8">
        <v>2</v>
      </c>
      <c r="C10" s="8">
        <v>3</v>
      </c>
      <c r="D10" s="8">
        <v>4</v>
      </c>
      <c r="E10" s="8"/>
      <c r="F10" s="8">
        <v>5</v>
      </c>
      <c r="G10" s="8">
        <v>6</v>
      </c>
      <c r="H10" s="8">
        <v>9</v>
      </c>
      <c r="I10" s="8">
        <v>10</v>
      </c>
      <c r="J10" s="8">
        <v>11</v>
      </c>
      <c r="K10" s="10"/>
    </row>
    <row r="11" spans="1:11" ht="75" x14ac:dyDescent="0.25">
      <c r="A11" s="8" t="s">
        <v>16</v>
      </c>
      <c r="B11" s="11" t="s">
        <v>17</v>
      </c>
      <c r="C11" s="12" t="s">
        <v>51</v>
      </c>
      <c r="D11" s="13"/>
      <c r="E11" s="14">
        <f>7972497.59+8080427.88</f>
        <v>16052925.469999999</v>
      </c>
      <c r="F11" s="8" t="s">
        <v>18</v>
      </c>
      <c r="G11" s="8" t="s">
        <v>18</v>
      </c>
      <c r="H11" s="9" t="s">
        <v>18</v>
      </c>
      <c r="I11" s="9" t="s">
        <v>18</v>
      </c>
      <c r="J11" s="9" t="s">
        <v>18</v>
      </c>
      <c r="K11" s="15">
        <f>E12*H12+E14*H14</f>
        <v>16052925.47006</v>
      </c>
    </row>
    <row r="12" spans="1:11" ht="93.75" x14ac:dyDescent="0.25">
      <c r="A12" s="13"/>
      <c r="B12" s="16"/>
      <c r="C12" s="17" t="s">
        <v>19</v>
      </c>
      <c r="D12" s="18" t="s">
        <v>20</v>
      </c>
      <c r="E12" s="19">
        <v>381423.10642999999</v>
      </c>
      <c r="F12" s="20">
        <f>(7153950.55)/H12</f>
        <v>170332.15595238094</v>
      </c>
      <c r="G12" s="21">
        <f>(19100+82770+1468567.57+63320+299722.1)/H12</f>
        <v>46035.230238095239</v>
      </c>
      <c r="H12" s="22">
        <v>42</v>
      </c>
      <c r="I12" s="22">
        <v>42</v>
      </c>
      <c r="J12" s="22">
        <v>42</v>
      </c>
      <c r="K12" s="23">
        <f>(E11-E14*H14)/H12</f>
        <v>381423.10642857139</v>
      </c>
    </row>
    <row r="13" spans="1:11" ht="18.75" x14ac:dyDescent="0.25">
      <c r="A13" s="13"/>
      <c r="B13" s="16"/>
      <c r="C13" s="17" t="s">
        <v>21</v>
      </c>
      <c r="D13" s="24" t="s">
        <v>22</v>
      </c>
      <c r="E13" s="25">
        <v>0</v>
      </c>
      <c r="F13" s="26">
        <v>0</v>
      </c>
      <c r="G13" s="26">
        <v>0</v>
      </c>
      <c r="H13" s="22"/>
      <c r="I13" s="22"/>
      <c r="J13" s="22"/>
      <c r="K13" s="27"/>
    </row>
    <row r="14" spans="1:11" ht="18.75" x14ac:dyDescent="0.25">
      <c r="A14" s="13"/>
      <c r="B14" s="16"/>
      <c r="C14" s="17" t="s">
        <v>23</v>
      </c>
      <c r="D14" s="18" t="s">
        <v>24</v>
      </c>
      <c r="E14" s="25">
        <v>16577.5</v>
      </c>
      <c r="F14" s="20">
        <v>0</v>
      </c>
      <c r="G14" s="20">
        <v>0</v>
      </c>
      <c r="H14" s="22">
        <v>2</v>
      </c>
      <c r="I14" s="22">
        <v>2</v>
      </c>
      <c r="J14" s="22">
        <v>2</v>
      </c>
      <c r="K14" s="27"/>
    </row>
    <row r="15" spans="1:11" ht="75" x14ac:dyDescent="0.25">
      <c r="A15" s="13">
        <v>2</v>
      </c>
      <c r="B15" s="28" t="s">
        <v>17</v>
      </c>
      <c r="C15" s="12" t="s">
        <v>52</v>
      </c>
      <c r="D15" s="13"/>
      <c r="E15" s="14">
        <f>11832723.68+12016180.56</f>
        <v>23848904.240000002</v>
      </c>
      <c r="F15" s="22" t="s">
        <v>18</v>
      </c>
      <c r="G15" s="22" t="s">
        <v>18</v>
      </c>
      <c r="H15" s="22" t="s">
        <v>18</v>
      </c>
      <c r="I15" s="22" t="s">
        <v>18</v>
      </c>
      <c r="J15" s="22" t="s">
        <v>18</v>
      </c>
      <c r="K15" s="29">
        <f>E16*H16+E18*H18</f>
        <v>23848904.239599999</v>
      </c>
    </row>
    <row r="16" spans="1:11" ht="93.75" x14ac:dyDescent="0.25">
      <c r="A16" s="13"/>
      <c r="B16" s="16"/>
      <c r="C16" s="17" t="s">
        <v>19</v>
      </c>
      <c r="D16" s="18" t="s">
        <v>20</v>
      </c>
      <c r="E16" s="19">
        <v>289627.30780000001</v>
      </c>
      <c r="F16" s="20">
        <f>(8241861.15+2489042.07)/H16</f>
        <v>130864.67341463415</v>
      </c>
      <c r="G16" s="21">
        <f>(15718.08+1882856.15+137414.15+141164+511767.63)/H16</f>
        <v>32791.707439024387</v>
      </c>
      <c r="H16" s="22">
        <v>82</v>
      </c>
      <c r="I16" s="22">
        <v>82</v>
      </c>
      <c r="J16" s="22">
        <f>I16</f>
        <v>82</v>
      </c>
      <c r="K16" s="30">
        <f>(E15-E18*H18)/H16</f>
        <v>289627.3078048781</v>
      </c>
    </row>
    <row r="17" spans="1:11" ht="18.75" x14ac:dyDescent="0.25">
      <c r="A17" s="13"/>
      <c r="B17" s="16"/>
      <c r="C17" s="17" t="s">
        <v>23</v>
      </c>
      <c r="D17" s="24" t="s">
        <v>22</v>
      </c>
      <c r="E17" s="25">
        <v>0</v>
      </c>
      <c r="F17" s="26">
        <v>0</v>
      </c>
      <c r="G17" s="26">
        <v>0</v>
      </c>
      <c r="H17" s="31"/>
      <c r="I17" s="31"/>
      <c r="J17" s="31"/>
      <c r="K17" s="27"/>
    </row>
    <row r="18" spans="1:11" ht="18.75" x14ac:dyDescent="0.25">
      <c r="A18" s="13"/>
      <c r="B18" s="16"/>
      <c r="C18" s="17" t="s">
        <v>21</v>
      </c>
      <c r="D18" s="18" t="s">
        <v>24</v>
      </c>
      <c r="E18" s="25">
        <v>16577.5</v>
      </c>
      <c r="F18" s="20">
        <v>0</v>
      </c>
      <c r="G18" s="20">
        <v>0</v>
      </c>
      <c r="H18" s="22">
        <v>6</v>
      </c>
      <c r="I18" s="22">
        <v>6</v>
      </c>
      <c r="J18" s="22">
        <v>6</v>
      </c>
      <c r="K18" s="27"/>
    </row>
    <row r="19" spans="1:11" ht="75" x14ac:dyDescent="0.25">
      <c r="A19" s="13">
        <v>3</v>
      </c>
      <c r="B19" s="28" t="s">
        <v>17</v>
      </c>
      <c r="C19" s="12" t="s">
        <v>53</v>
      </c>
      <c r="D19" s="13"/>
      <c r="E19" s="14">
        <f>28060980.42+19515000.27</f>
        <v>47575980.689999998</v>
      </c>
      <c r="F19" s="22" t="s">
        <v>18</v>
      </c>
      <c r="G19" s="22" t="s">
        <v>18</v>
      </c>
      <c r="H19" s="22" t="s">
        <v>18</v>
      </c>
      <c r="I19" s="22" t="s">
        <v>18</v>
      </c>
      <c r="J19" s="22" t="s">
        <v>18</v>
      </c>
      <c r="K19" s="29">
        <f>E20*H20+E22*H22</f>
        <v>47575980.690239996</v>
      </c>
    </row>
    <row r="20" spans="1:11" ht="93.75" x14ac:dyDescent="0.25">
      <c r="A20" s="13"/>
      <c r="B20" s="28"/>
      <c r="C20" s="17" t="s">
        <v>19</v>
      </c>
      <c r="D20" s="18" t="s">
        <v>20</v>
      </c>
      <c r="E20" s="19">
        <v>268905.21698999999</v>
      </c>
      <c r="F20" s="20">
        <f>(19152983.54+5784201.02)/H20</f>
        <v>141688.54863636362</v>
      </c>
      <c r="G20" s="32">
        <f>(22000+5163182.08+382971.57+422283+1050128.36)/H20</f>
        <v>40003.210284090914</v>
      </c>
      <c r="H20" s="22">
        <v>176</v>
      </c>
      <c r="I20" s="22">
        <v>176</v>
      </c>
      <c r="J20" s="22">
        <f>I20</f>
        <v>176</v>
      </c>
      <c r="K20" s="30">
        <f>(E19-E22*H22)/H20</f>
        <v>268905.21698863636</v>
      </c>
    </row>
    <row r="21" spans="1:11" ht="18.75" x14ac:dyDescent="0.25">
      <c r="A21" s="13"/>
      <c r="B21" s="28"/>
      <c r="C21" s="17" t="s">
        <v>23</v>
      </c>
      <c r="D21" s="24" t="s">
        <v>22</v>
      </c>
      <c r="E21" s="33">
        <v>0</v>
      </c>
      <c r="F21" s="26">
        <v>0</v>
      </c>
      <c r="G21" s="26">
        <v>0</v>
      </c>
      <c r="H21" s="31"/>
      <c r="I21" s="31"/>
      <c r="J21" s="31"/>
      <c r="K21" s="27"/>
    </row>
    <row r="22" spans="1:11" ht="18.75" x14ac:dyDescent="0.25">
      <c r="A22" s="13"/>
      <c r="B22" s="28"/>
      <c r="C22" s="17" t="s">
        <v>21</v>
      </c>
      <c r="D22" s="18" t="s">
        <v>24</v>
      </c>
      <c r="E22" s="25">
        <v>16577.5</v>
      </c>
      <c r="F22" s="20">
        <v>0</v>
      </c>
      <c r="G22" s="20">
        <v>0</v>
      </c>
      <c r="H22" s="22">
        <v>15</v>
      </c>
      <c r="I22" s="22">
        <v>15</v>
      </c>
      <c r="J22" s="22">
        <v>15</v>
      </c>
      <c r="K22" s="27"/>
    </row>
    <row r="23" spans="1:11" ht="75" x14ac:dyDescent="0.25">
      <c r="A23" s="13">
        <v>4</v>
      </c>
      <c r="B23" s="28" t="s">
        <v>17</v>
      </c>
      <c r="C23" s="12" t="s">
        <v>54</v>
      </c>
      <c r="D23" s="13"/>
      <c r="E23" s="14">
        <f>33705139.04+25935395.3</f>
        <v>59640534.340000004</v>
      </c>
      <c r="F23" s="22" t="s">
        <v>18</v>
      </c>
      <c r="G23" s="22" t="s">
        <v>18</v>
      </c>
      <c r="H23" s="22" t="s">
        <v>18</v>
      </c>
      <c r="I23" s="22" t="s">
        <v>18</v>
      </c>
      <c r="J23" s="22" t="s">
        <v>18</v>
      </c>
      <c r="K23" s="29">
        <f>E24*H24+E26*H26</f>
        <v>59640534.34121</v>
      </c>
    </row>
    <row r="24" spans="1:11" ht="93.75" x14ac:dyDescent="0.25">
      <c r="A24" s="13"/>
      <c r="B24" s="28"/>
      <c r="C24" s="17" t="s">
        <v>19</v>
      </c>
      <c r="D24" s="18" t="s">
        <v>20</v>
      </c>
      <c r="E24" s="19">
        <v>233833.14957000001</v>
      </c>
      <c r="F24" s="20">
        <f>(20042702.55+6052896.17)/H24</f>
        <v>103144.65897233201</v>
      </c>
      <c r="G24" s="21">
        <f>(5800+7016693.35+381220.43+493668.8+1210240.76)/H24</f>
        <v>35998.511225296439</v>
      </c>
      <c r="H24" s="22">
        <v>253</v>
      </c>
      <c r="I24" s="22">
        <v>253</v>
      </c>
      <c r="J24" s="22">
        <f>I24</f>
        <v>253</v>
      </c>
      <c r="K24" s="30">
        <f>(E23-E26*H26)/H24</f>
        <v>233833.14956521741</v>
      </c>
    </row>
    <row r="25" spans="1:11" ht="18.75" x14ac:dyDescent="0.25">
      <c r="A25" s="13"/>
      <c r="B25" s="28"/>
      <c r="C25" s="17" t="s">
        <v>23</v>
      </c>
      <c r="D25" s="24" t="s">
        <v>22</v>
      </c>
      <c r="E25" s="25">
        <v>0</v>
      </c>
      <c r="F25" s="20">
        <v>0</v>
      </c>
      <c r="G25" s="20">
        <v>0</v>
      </c>
      <c r="H25" s="31"/>
      <c r="I25" s="31"/>
      <c r="J25" s="31"/>
      <c r="K25" s="27"/>
    </row>
    <row r="26" spans="1:11" ht="18.75" x14ac:dyDescent="0.25">
      <c r="A26" s="13"/>
      <c r="B26" s="28"/>
      <c r="C26" s="17" t="s">
        <v>21</v>
      </c>
      <c r="D26" s="18" t="s">
        <v>24</v>
      </c>
      <c r="E26" s="25">
        <v>16577.5</v>
      </c>
      <c r="F26" s="20">
        <v>0</v>
      </c>
      <c r="G26" s="20">
        <v>0</v>
      </c>
      <c r="H26" s="22">
        <v>29</v>
      </c>
      <c r="I26" s="22">
        <v>29</v>
      </c>
      <c r="J26" s="22">
        <v>29</v>
      </c>
      <c r="K26" s="27"/>
    </row>
    <row r="27" spans="1:11" ht="75" x14ac:dyDescent="0.25">
      <c r="A27" s="13">
        <v>5</v>
      </c>
      <c r="B27" s="28" t="s">
        <v>17</v>
      </c>
      <c r="C27" s="12" t="s">
        <v>55</v>
      </c>
      <c r="D27" s="13"/>
      <c r="E27" s="14">
        <f>30733536.04+17271512.53</f>
        <v>48005048.57</v>
      </c>
      <c r="F27" s="22" t="s">
        <v>18</v>
      </c>
      <c r="G27" s="22" t="s">
        <v>18</v>
      </c>
      <c r="H27" s="22" t="s">
        <v>18</v>
      </c>
      <c r="I27" s="22" t="s">
        <v>18</v>
      </c>
      <c r="J27" s="22" t="s">
        <v>18</v>
      </c>
      <c r="K27" s="29">
        <f>E28*H28+E30*H30</f>
        <v>48005048.569119997</v>
      </c>
    </row>
    <row r="28" spans="1:11" ht="93.75" x14ac:dyDescent="0.25">
      <c r="A28" s="13"/>
      <c r="B28" s="28"/>
      <c r="C28" s="17" t="s">
        <v>19</v>
      </c>
      <c r="D28" s="18" t="s">
        <v>20</v>
      </c>
      <c r="E28" s="19">
        <v>212458.08512999999</v>
      </c>
      <c r="F28" s="20">
        <f>(21424136.98+6470089.37)/H28</f>
        <v>124527.79620535715</v>
      </c>
      <c r="G28" s="32">
        <f>(34674+4533266.59+342851.08+462701.62+1264727.9)/H28</f>
        <v>29634.916026785711</v>
      </c>
      <c r="H28" s="22">
        <v>224</v>
      </c>
      <c r="I28" s="22">
        <f>H28</f>
        <v>224</v>
      </c>
      <c r="J28" s="22">
        <f>I28</f>
        <v>224</v>
      </c>
      <c r="K28" s="30">
        <f>(E27-E30*H30)/H28</f>
        <v>212458.08513392857</v>
      </c>
    </row>
    <row r="29" spans="1:11" ht="18.75" x14ac:dyDescent="0.25">
      <c r="A29" s="13"/>
      <c r="B29" s="28"/>
      <c r="C29" s="17" t="s">
        <v>23</v>
      </c>
      <c r="D29" s="24" t="s">
        <v>22</v>
      </c>
      <c r="E29" s="25">
        <v>0</v>
      </c>
      <c r="F29" s="20">
        <v>0</v>
      </c>
      <c r="G29" s="20">
        <v>0</v>
      </c>
      <c r="H29" s="31"/>
      <c r="I29" s="31"/>
      <c r="J29" s="31"/>
      <c r="K29" s="27"/>
    </row>
    <row r="30" spans="1:11" ht="18.75" x14ac:dyDescent="0.25">
      <c r="A30" s="13"/>
      <c r="B30" s="28"/>
      <c r="C30" s="17" t="s">
        <v>21</v>
      </c>
      <c r="D30" s="18" t="s">
        <v>24</v>
      </c>
      <c r="E30" s="25">
        <v>16577.5</v>
      </c>
      <c r="F30" s="20">
        <v>0</v>
      </c>
      <c r="G30" s="20">
        <v>0</v>
      </c>
      <c r="H30" s="22">
        <v>25</v>
      </c>
      <c r="I30" s="22">
        <v>25</v>
      </c>
      <c r="J30" s="22">
        <v>25</v>
      </c>
      <c r="K30" s="27"/>
    </row>
    <row r="31" spans="1:11" ht="75" x14ac:dyDescent="0.25">
      <c r="A31" s="13">
        <v>6</v>
      </c>
      <c r="B31" s="28" t="s">
        <v>17</v>
      </c>
      <c r="C31" s="12" t="s">
        <v>56</v>
      </c>
      <c r="D31" s="13"/>
      <c r="E31" s="14">
        <f>12171388.35+8008124.74</f>
        <v>20179513.09</v>
      </c>
      <c r="F31" s="22" t="s">
        <v>18</v>
      </c>
      <c r="G31" s="22" t="s">
        <v>18</v>
      </c>
      <c r="H31" s="22" t="s">
        <v>18</v>
      </c>
      <c r="I31" s="22" t="s">
        <v>18</v>
      </c>
      <c r="J31" s="22" t="s">
        <v>18</v>
      </c>
      <c r="K31" s="29">
        <f>E32*H32+E34*H34</f>
        <v>20179513.089840002</v>
      </c>
    </row>
    <row r="32" spans="1:11" ht="93.75" x14ac:dyDescent="0.25">
      <c r="A32" s="13"/>
      <c r="B32" s="28"/>
      <c r="C32" s="17" t="s">
        <v>19</v>
      </c>
      <c r="D32" s="18" t="s">
        <v>20</v>
      </c>
      <c r="E32" s="19">
        <v>150237.76962000001</v>
      </c>
      <c r="F32" s="20">
        <f>(11730604.92+3542642.68)/H32</f>
        <v>115706.4212121212</v>
      </c>
      <c r="G32" s="21">
        <f>(17600+2085713.82+284471.03+416685+830389.93)/H32</f>
        <v>27536.81651515152</v>
      </c>
      <c r="H32" s="22">
        <v>132</v>
      </c>
      <c r="I32" s="22">
        <f>H32</f>
        <v>132</v>
      </c>
      <c r="J32" s="22">
        <f>I32</f>
        <v>132</v>
      </c>
      <c r="K32" s="30">
        <f>(E31-E34*H34)/H32</f>
        <v>150237.76962121212</v>
      </c>
    </row>
    <row r="33" spans="1:11" ht="18.75" x14ac:dyDescent="0.25">
      <c r="A33" s="13"/>
      <c r="B33" s="28"/>
      <c r="C33" s="17" t="s">
        <v>23</v>
      </c>
      <c r="D33" s="24" t="s">
        <v>22</v>
      </c>
      <c r="E33" s="25">
        <v>0</v>
      </c>
      <c r="F33" s="20">
        <v>0</v>
      </c>
      <c r="G33" s="20">
        <v>0</v>
      </c>
      <c r="H33" s="31"/>
      <c r="I33" s="31"/>
      <c r="J33" s="31"/>
      <c r="K33" s="27"/>
    </row>
    <row r="34" spans="1:11" ht="18.75" x14ac:dyDescent="0.25">
      <c r="A34" s="13"/>
      <c r="B34" s="28"/>
      <c r="C34" s="17" t="s">
        <v>21</v>
      </c>
      <c r="D34" s="18" t="s">
        <v>24</v>
      </c>
      <c r="E34" s="25">
        <v>16577.5</v>
      </c>
      <c r="F34" s="20">
        <v>0</v>
      </c>
      <c r="G34" s="20">
        <v>0</v>
      </c>
      <c r="H34" s="22">
        <v>21</v>
      </c>
      <c r="I34" s="22">
        <v>21</v>
      </c>
      <c r="J34" s="22">
        <v>21</v>
      </c>
      <c r="K34" s="27"/>
    </row>
    <row r="35" spans="1:11" ht="18.75" x14ac:dyDescent="0.25">
      <c r="A35" s="34"/>
      <c r="B35" s="28" t="s">
        <v>17</v>
      </c>
      <c r="C35" s="59" t="s">
        <v>25</v>
      </c>
      <c r="D35" s="59"/>
      <c r="E35" s="35">
        <f>E11+E15+E19+E23+E27+E31</f>
        <v>215302906.40000001</v>
      </c>
      <c r="F35" s="36"/>
      <c r="G35" s="36"/>
      <c r="H35" s="22">
        <f>H12+H14+H16+H18+H20+H22+H24+H26+H28+H30+H32+H34</f>
        <v>1007</v>
      </c>
      <c r="I35" s="37"/>
      <c r="J35" s="37"/>
      <c r="K35" s="38"/>
    </row>
    <row r="36" spans="1:11" ht="56.25" x14ac:dyDescent="0.25">
      <c r="A36" s="13">
        <v>7</v>
      </c>
      <c r="B36" s="28" t="s">
        <v>26</v>
      </c>
      <c r="C36" s="39" t="s">
        <v>57</v>
      </c>
      <c r="D36" s="13"/>
      <c r="E36" s="14">
        <f>93936404.04+24180717.35</f>
        <v>118117121.39000002</v>
      </c>
      <c r="F36" s="13" t="s">
        <v>18</v>
      </c>
      <c r="G36" s="13" t="s">
        <v>18</v>
      </c>
      <c r="H36" s="22" t="s">
        <v>18</v>
      </c>
      <c r="I36" s="22" t="s">
        <v>18</v>
      </c>
      <c r="J36" s="22" t="s">
        <v>18</v>
      </c>
      <c r="K36" s="29">
        <f>(E37*H37)+(E38*H38)+E39*H39</f>
        <v>118117121.39000002</v>
      </c>
    </row>
    <row r="37" spans="1:11" ht="75" x14ac:dyDescent="0.25">
      <c r="A37" s="13"/>
      <c r="B37" s="28"/>
      <c r="C37" s="17" t="s">
        <v>27</v>
      </c>
      <c r="D37" s="24" t="s">
        <v>28</v>
      </c>
      <c r="E37" s="19">
        <f>K37</f>
        <v>124203.07191377498</v>
      </c>
      <c r="F37" s="32">
        <f>(44393752.05+13406913.12)/951</f>
        <v>60778.827728706616</v>
      </c>
      <c r="G37" s="21">
        <f>(67074.69+7501557.57+245813.98+1733334+4769105.07)/951</f>
        <v>15054.558685594115</v>
      </c>
      <c r="H37" s="22">
        <v>373</v>
      </c>
      <c r="I37" s="22">
        <v>373</v>
      </c>
      <c r="J37" s="22">
        <v>373</v>
      </c>
      <c r="K37" s="30">
        <f>E36/(H37+H38+H39)</f>
        <v>124203.07191377498</v>
      </c>
    </row>
    <row r="38" spans="1:11" ht="75" x14ac:dyDescent="0.25">
      <c r="A38" s="13"/>
      <c r="B38" s="28"/>
      <c r="C38" s="17" t="s">
        <v>29</v>
      </c>
      <c r="D38" s="24" t="s">
        <v>30</v>
      </c>
      <c r="E38" s="19">
        <f>K37</f>
        <v>124203.07191377498</v>
      </c>
      <c r="F38" s="32">
        <f>(44393752.05+13406913.12)/951</f>
        <v>60778.827728706616</v>
      </c>
      <c r="G38" s="21">
        <f>(67074.69+7501557.57+245813.98+1733334+4769105.07)/951</f>
        <v>15054.558685594115</v>
      </c>
      <c r="H38" s="22">
        <v>499</v>
      </c>
      <c r="I38" s="22">
        <f>H38</f>
        <v>499</v>
      </c>
      <c r="J38" s="22">
        <f>I38</f>
        <v>499</v>
      </c>
      <c r="K38" s="27"/>
    </row>
    <row r="39" spans="1:11" ht="75" x14ac:dyDescent="0.25">
      <c r="A39" s="13"/>
      <c r="B39" s="28"/>
      <c r="C39" s="17" t="s">
        <v>31</v>
      </c>
      <c r="D39" s="24" t="s">
        <v>32</v>
      </c>
      <c r="E39" s="19">
        <f>K37</f>
        <v>124203.07191377498</v>
      </c>
      <c r="F39" s="32">
        <f>(44393752.05+13406913.12)/951</f>
        <v>60778.827728706616</v>
      </c>
      <c r="G39" s="21">
        <f>(67074.69+7501557.57+245813.98+1733334+4769105.07)/951</f>
        <v>15054.558685594115</v>
      </c>
      <c r="H39" s="22">
        <v>79</v>
      </c>
      <c r="I39" s="22">
        <f>H39</f>
        <v>79</v>
      </c>
      <c r="J39" s="22">
        <f>I39</f>
        <v>79</v>
      </c>
      <c r="K39" s="27"/>
    </row>
    <row r="40" spans="1:11" ht="131.25" x14ac:dyDescent="0.25">
      <c r="A40" s="13">
        <v>8</v>
      </c>
      <c r="B40" s="28" t="s">
        <v>26</v>
      </c>
      <c r="C40" s="39" t="s">
        <v>58</v>
      </c>
      <c r="D40" s="13"/>
      <c r="E40" s="14">
        <f>86576920.01+21751148.48</f>
        <v>108328068.49000001</v>
      </c>
      <c r="F40" s="22" t="s">
        <v>18</v>
      </c>
      <c r="G40" s="22" t="s">
        <v>18</v>
      </c>
      <c r="H40" s="22" t="s">
        <v>18</v>
      </c>
      <c r="I40" s="22" t="s">
        <v>18</v>
      </c>
      <c r="J40" s="22" t="s">
        <v>18</v>
      </c>
      <c r="K40" s="29">
        <f>(E41*H41)+(E42*H42)+(E44*H44)</f>
        <v>108328068.49000001</v>
      </c>
    </row>
    <row r="41" spans="1:11" ht="75" x14ac:dyDescent="0.25">
      <c r="A41" s="13"/>
      <c r="B41" s="28"/>
      <c r="C41" s="17" t="s">
        <v>27</v>
      </c>
      <c r="D41" s="24" t="s">
        <v>28</v>
      </c>
      <c r="E41" s="19">
        <f>K41</f>
        <v>117492.4820932755</v>
      </c>
      <c r="F41" s="32">
        <f>(39564572+11948500.74)/922</f>
        <v>55871.011648590022</v>
      </c>
      <c r="G41" s="32">
        <f>(34775.15+6104081.77+248691.16+1726827+4712578.43)/922</f>
        <v>13912.0970824295</v>
      </c>
      <c r="H41" s="22">
        <v>365</v>
      </c>
      <c r="I41" s="22">
        <f>H41</f>
        <v>365</v>
      </c>
      <c r="J41" s="22">
        <f>I41</f>
        <v>365</v>
      </c>
      <c r="K41" s="30">
        <f>E40/(H41+H42+H43+H44)</f>
        <v>117492.4820932755</v>
      </c>
    </row>
    <row r="42" spans="1:11" ht="75" x14ac:dyDescent="0.25">
      <c r="A42" s="13"/>
      <c r="B42" s="28"/>
      <c r="C42" s="17" t="s">
        <v>29</v>
      </c>
      <c r="D42" s="24" t="s">
        <v>30</v>
      </c>
      <c r="E42" s="19">
        <f>K41</f>
        <v>117492.4820932755</v>
      </c>
      <c r="F42" s="32">
        <f>(39564572+11948500.74)/922</f>
        <v>55871.011648590022</v>
      </c>
      <c r="G42" s="32">
        <f>(34775.15+6104081.77+248691.16+1726827+4712578.43)/922</f>
        <v>13912.0970824295</v>
      </c>
      <c r="H42" s="22">
        <v>487</v>
      </c>
      <c r="I42" s="22">
        <f>H42</f>
        <v>487</v>
      </c>
      <c r="J42" s="22">
        <f>I42</f>
        <v>487</v>
      </c>
      <c r="K42" s="27"/>
    </row>
    <row r="43" spans="1:11" ht="93.75" x14ac:dyDescent="0.25">
      <c r="A43" s="13"/>
      <c r="B43" s="28"/>
      <c r="C43" s="17" t="s">
        <v>33</v>
      </c>
      <c r="D43" s="24" t="s">
        <v>34</v>
      </c>
      <c r="E43" s="19">
        <f>K41</f>
        <v>117492.4820932755</v>
      </c>
      <c r="F43" s="32">
        <f>(39564572+11948500.74)/922</f>
        <v>55871.011648590022</v>
      </c>
      <c r="G43" s="32">
        <f>(34775.15+6104081.77+248691.16+1726827+4712578.43)/922</f>
        <v>13912.0970824295</v>
      </c>
      <c r="H43" s="22">
        <v>0</v>
      </c>
      <c r="I43" s="22">
        <v>0</v>
      </c>
      <c r="J43" s="22">
        <v>0</v>
      </c>
      <c r="K43" s="27"/>
    </row>
    <row r="44" spans="1:11" ht="75" x14ac:dyDescent="0.25">
      <c r="A44" s="13"/>
      <c r="B44" s="28"/>
      <c r="C44" s="17" t="s">
        <v>31</v>
      </c>
      <c r="D44" s="24" t="s">
        <v>32</v>
      </c>
      <c r="E44" s="19">
        <f>K41</f>
        <v>117492.4820932755</v>
      </c>
      <c r="F44" s="32">
        <f>(39564572+11948500.74)/922</f>
        <v>55871.011648590022</v>
      </c>
      <c r="G44" s="32">
        <f>(34775.15+6104081.77+248691.16+1726827+4712578.43)/922</f>
        <v>13912.0970824295</v>
      </c>
      <c r="H44" s="22">
        <v>70</v>
      </c>
      <c r="I44" s="22">
        <f>H44</f>
        <v>70</v>
      </c>
      <c r="J44" s="22">
        <f>I44</f>
        <v>70</v>
      </c>
      <c r="K44" s="27"/>
    </row>
    <row r="45" spans="1:11" ht="93.75" x14ac:dyDescent="0.25">
      <c r="A45" s="13">
        <v>9</v>
      </c>
      <c r="B45" s="28" t="s">
        <v>26</v>
      </c>
      <c r="C45" s="40" t="s">
        <v>59</v>
      </c>
      <c r="D45" s="13"/>
      <c r="E45" s="14">
        <f>71599688.59-3049015.57+23133173.56+4018396.4+3049015.57</f>
        <v>98751258.550000012</v>
      </c>
      <c r="F45" s="22" t="s">
        <v>18</v>
      </c>
      <c r="G45" s="22" t="s">
        <v>18</v>
      </c>
      <c r="H45" s="22" t="s">
        <v>18</v>
      </c>
      <c r="I45" s="22" t="s">
        <v>18</v>
      </c>
      <c r="J45" s="22" t="s">
        <v>18</v>
      </c>
      <c r="K45" s="41">
        <f>E46*H46+E47*H47+E48*H48+E49*H49</f>
        <v>91683846.580000013</v>
      </c>
    </row>
    <row r="46" spans="1:11" ht="75" x14ac:dyDescent="0.25">
      <c r="A46" s="13"/>
      <c r="B46" s="28"/>
      <c r="C46" s="17" t="s">
        <v>27</v>
      </c>
      <c r="D46" s="24" t="s">
        <v>28</v>
      </c>
      <c r="E46" s="19">
        <f>K47</f>
        <v>158075.59755172417</v>
      </c>
      <c r="F46" s="21">
        <f>(24312646.64+7342419.29)/580</f>
        <v>54577.699879310341</v>
      </c>
      <c r="G46" s="32">
        <f>(34236.16+6112826.36+322098.73+510341+2755620.25)/580</f>
        <v>16784.693965517243</v>
      </c>
      <c r="H46" s="22">
        <v>245</v>
      </c>
      <c r="I46" s="22">
        <f>H46</f>
        <v>245</v>
      </c>
      <c r="J46" s="22">
        <f>I46</f>
        <v>245</v>
      </c>
      <c r="K46" s="23"/>
    </row>
    <row r="47" spans="1:11" ht="75" x14ac:dyDescent="0.25">
      <c r="A47" s="13"/>
      <c r="B47" s="28"/>
      <c r="C47" s="17" t="s">
        <v>29</v>
      </c>
      <c r="D47" s="24" t="s">
        <v>30</v>
      </c>
      <c r="E47" s="19">
        <f>K47</f>
        <v>158075.59755172417</v>
      </c>
      <c r="F47" s="21">
        <f>(24312646.64+7342419.29)/580</f>
        <v>54577.699879310341</v>
      </c>
      <c r="G47" s="32">
        <f>(34236.16+6112826.36+322098.73+510341+2755620.25)/580</f>
        <v>16784.693965517243</v>
      </c>
      <c r="H47" s="22">
        <v>291</v>
      </c>
      <c r="I47" s="22">
        <f>H47</f>
        <v>291</v>
      </c>
      <c r="J47" s="22">
        <f>I47</f>
        <v>291</v>
      </c>
      <c r="K47" s="23">
        <f>(E45-3049015.57-4018396.4)/(H46+H47+H48+H49)</f>
        <v>158075.59755172417</v>
      </c>
    </row>
    <row r="48" spans="1:11" ht="93.75" x14ac:dyDescent="0.25">
      <c r="A48" s="13"/>
      <c r="B48" s="28"/>
      <c r="C48" s="17" t="s">
        <v>33</v>
      </c>
      <c r="D48" s="24" t="s">
        <v>34</v>
      </c>
      <c r="E48" s="19">
        <f>K47</f>
        <v>158075.59755172417</v>
      </c>
      <c r="F48" s="21">
        <f>(24312646.64+7342419.29)/580</f>
        <v>54577.699879310341</v>
      </c>
      <c r="G48" s="32">
        <f>(34236.16+6112826.36+322098.73+510341+2755620.25)/580</f>
        <v>16784.693965517243</v>
      </c>
      <c r="H48" s="22">
        <v>0</v>
      </c>
      <c r="I48" s="22">
        <v>0</v>
      </c>
      <c r="J48" s="22">
        <v>0</v>
      </c>
      <c r="K48" s="27"/>
    </row>
    <row r="49" spans="1:11" ht="75" x14ac:dyDescent="0.25">
      <c r="A49" s="13"/>
      <c r="B49" s="28"/>
      <c r="C49" s="17" t="s">
        <v>35</v>
      </c>
      <c r="D49" s="24" t="s">
        <v>32</v>
      </c>
      <c r="E49" s="19">
        <f>K47</f>
        <v>158075.59755172417</v>
      </c>
      <c r="F49" s="21">
        <f>(24312646.64+7342419.29)/580</f>
        <v>54577.699879310341</v>
      </c>
      <c r="G49" s="32">
        <f>(34236.16+6112826.36+322098.73+510341+2755620.25)/580</f>
        <v>16784.693965517243</v>
      </c>
      <c r="H49" s="22">
        <v>44</v>
      </c>
      <c r="I49" s="22">
        <f>H49</f>
        <v>44</v>
      </c>
      <c r="J49" s="22">
        <f>I49</f>
        <v>44</v>
      </c>
      <c r="K49" s="27"/>
    </row>
    <row r="50" spans="1:11" ht="93.75" x14ac:dyDescent="0.25">
      <c r="A50" s="13"/>
      <c r="B50" s="28"/>
      <c r="C50" s="17" t="s">
        <v>19</v>
      </c>
      <c r="D50" s="24" t="s">
        <v>20</v>
      </c>
      <c r="E50" s="19">
        <v>50903.670227272698</v>
      </c>
      <c r="F50" s="21">
        <f>(2041507.98+3049015.57)/H50</f>
        <v>38564.572348484849</v>
      </c>
      <c r="G50" s="32">
        <f>(4018396.4-2041507.98)/H50</f>
        <v>14976.427424242424</v>
      </c>
      <c r="H50" s="22">
        <v>132</v>
      </c>
      <c r="I50" s="22">
        <v>132</v>
      </c>
      <c r="J50" s="22">
        <v>132</v>
      </c>
      <c r="K50" s="27"/>
    </row>
    <row r="51" spans="1:11" ht="18.75" x14ac:dyDescent="0.25">
      <c r="A51" s="13"/>
      <c r="B51" s="28"/>
      <c r="C51" s="17" t="s">
        <v>23</v>
      </c>
      <c r="D51" s="24" t="s">
        <v>22</v>
      </c>
      <c r="E51" s="19">
        <v>0</v>
      </c>
      <c r="F51" s="21">
        <v>0</v>
      </c>
      <c r="G51" s="32">
        <v>0</v>
      </c>
      <c r="H51" s="22">
        <v>0</v>
      </c>
      <c r="I51" s="22">
        <v>0</v>
      </c>
      <c r="J51" s="22">
        <v>0</v>
      </c>
      <c r="K51" s="27"/>
    </row>
    <row r="52" spans="1:11" ht="18.75" x14ac:dyDescent="0.25">
      <c r="A52" s="13"/>
      <c r="B52" s="28"/>
      <c r="C52" s="17" t="s">
        <v>23</v>
      </c>
      <c r="D52" s="24" t="s">
        <v>36</v>
      </c>
      <c r="E52" s="19">
        <v>16577.5</v>
      </c>
      <c r="F52" s="21">
        <v>0</v>
      </c>
      <c r="G52" s="32">
        <v>0</v>
      </c>
      <c r="H52" s="22">
        <v>21</v>
      </c>
      <c r="I52" s="22">
        <v>21</v>
      </c>
      <c r="J52" s="22">
        <v>21</v>
      </c>
      <c r="K52" s="27"/>
    </row>
    <row r="53" spans="1:11" ht="56.25" x14ac:dyDescent="0.25">
      <c r="A53" s="13">
        <v>10</v>
      </c>
      <c r="B53" s="28" t="s">
        <v>26</v>
      </c>
      <c r="C53" s="39" t="s">
        <v>60</v>
      </c>
      <c r="D53" s="13"/>
      <c r="E53" s="14">
        <f>41280039.18+14925646.85</f>
        <v>56205686.030000001</v>
      </c>
      <c r="F53" s="22" t="s">
        <v>18</v>
      </c>
      <c r="G53" s="22" t="s">
        <v>18</v>
      </c>
      <c r="H53" s="22" t="s">
        <v>18</v>
      </c>
      <c r="I53" s="22" t="s">
        <v>18</v>
      </c>
      <c r="J53" s="22" t="s">
        <v>18</v>
      </c>
      <c r="K53" s="41">
        <f>E54*H54+E55*H55+E57*H57</f>
        <v>56205686.030000009</v>
      </c>
    </row>
    <row r="54" spans="1:11" ht="75" x14ac:dyDescent="0.25">
      <c r="A54" s="13"/>
      <c r="B54" s="28"/>
      <c r="C54" s="17" t="s">
        <v>27</v>
      </c>
      <c r="D54" s="24" t="s">
        <v>28</v>
      </c>
      <c r="E54" s="19">
        <f>K54</f>
        <v>243314.65813852815</v>
      </c>
      <c r="F54" s="32">
        <f>(24674419.98+7451674.83)/231</f>
        <v>139074.00350649352</v>
      </c>
      <c r="G54" s="21">
        <f>(33950.96+4042333.19+161172.14+365684+1819314.87)/231</f>
        <v>27802.836190476191</v>
      </c>
      <c r="H54" s="22">
        <v>87</v>
      </c>
      <c r="I54" s="22">
        <f>H54</f>
        <v>87</v>
      </c>
      <c r="J54" s="22">
        <f>I54</f>
        <v>87</v>
      </c>
      <c r="K54" s="23">
        <f>E53/(H54+H55+H57)</f>
        <v>243314.65813852815</v>
      </c>
    </row>
    <row r="55" spans="1:11" ht="75" x14ac:dyDescent="0.25">
      <c r="A55" s="13"/>
      <c r="B55" s="28"/>
      <c r="C55" s="17" t="s">
        <v>29</v>
      </c>
      <c r="D55" s="24" t="s">
        <v>30</v>
      </c>
      <c r="E55" s="19">
        <f>K54</f>
        <v>243314.65813852815</v>
      </c>
      <c r="F55" s="32">
        <f>(24674419.98+7451674.83)/231</f>
        <v>139074.00350649352</v>
      </c>
      <c r="G55" s="21">
        <f>(33950.96+4042333.19+161172.14+365684+1819314.87)/231</f>
        <v>27802.836190476191</v>
      </c>
      <c r="H55" s="22">
        <v>118</v>
      </c>
      <c r="I55" s="22">
        <f>H55</f>
        <v>118</v>
      </c>
      <c r="J55" s="22">
        <f>I55</f>
        <v>118</v>
      </c>
      <c r="K55" s="27"/>
    </row>
    <row r="56" spans="1:11" ht="93.75" x14ac:dyDescent="0.25">
      <c r="A56" s="13"/>
      <c r="B56" s="28"/>
      <c r="C56" s="17" t="s">
        <v>33</v>
      </c>
      <c r="D56" s="24" t="s">
        <v>37</v>
      </c>
      <c r="E56" s="19">
        <f>E55</f>
        <v>243314.65813852815</v>
      </c>
      <c r="F56" s="32">
        <v>139074.00351000001</v>
      </c>
      <c r="G56" s="21">
        <v>27802.836200000002</v>
      </c>
      <c r="H56" s="22">
        <v>0</v>
      </c>
      <c r="I56" s="22">
        <v>0</v>
      </c>
      <c r="J56" s="22">
        <v>0</v>
      </c>
      <c r="K56" s="27"/>
    </row>
    <row r="57" spans="1:11" ht="75" x14ac:dyDescent="0.25">
      <c r="A57" s="13"/>
      <c r="B57" s="28"/>
      <c r="C57" s="17" t="s">
        <v>35</v>
      </c>
      <c r="D57" s="24" t="s">
        <v>32</v>
      </c>
      <c r="E57" s="19">
        <f>K54</f>
        <v>243314.65813852815</v>
      </c>
      <c r="F57" s="32">
        <f>(24674419.98+7451674.83)/231</f>
        <v>139074.00350649352</v>
      </c>
      <c r="G57" s="21">
        <f>(33950.96+4042333.19+161172.14+365684+1819314.87)/231</f>
        <v>27802.836190476191</v>
      </c>
      <c r="H57" s="22">
        <v>26</v>
      </c>
      <c r="I57" s="22">
        <f>H57</f>
        <v>26</v>
      </c>
      <c r="J57" s="22">
        <f>I57</f>
        <v>26</v>
      </c>
      <c r="K57" s="27"/>
    </row>
    <row r="58" spans="1:11" ht="93.75" x14ac:dyDescent="0.25">
      <c r="A58" s="13"/>
      <c r="B58" s="28"/>
      <c r="C58" s="17" t="s">
        <v>38</v>
      </c>
      <c r="D58" s="24" t="s">
        <v>39</v>
      </c>
      <c r="E58" s="50"/>
      <c r="F58" s="20">
        <v>0</v>
      </c>
      <c r="G58" s="32"/>
      <c r="H58" s="31">
        <v>0</v>
      </c>
      <c r="I58" s="31">
        <v>0</v>
      </c>
      <c r="J58" s="31">
        <v>0</v>
      </c>
      <c r="K58" s="27"/>
    </row>
    <row r="59" spans="1:11" ht="56.25" x14ac:dyDescent="0.25">
      <c r="A59" s="13">
        <v>11</v>
      </c>
      <c r="B59" s="28" t="s">
        <v>26</v>
      </c>
      <c r="C59" s="39" t="s">
        <v>61</v>
      </c>
      <c r="D59" s="13"/>
      <c r="E59" s="14">
        <f>52792786.97+12526221.46</f>
        <v>65319008.43</v>
      </c>
      <c r="F59" s="22" t="s">
        <v>18</v>
      </c>
      <c r="G59" s="22" t="s">
        <v>18</v>
      </c>
      <c r="H59" s="22" t="s">
        <v>18</v>
      </c>
      <c r="I59" s="22" t="s">
        <v>18</v>
      </c>
      <c r="J59" s="22" t="s">
        <v>18</v>
      </c>
      <c r="K59" s="41">
        <f>E60*H60+E61*H61+E62*H62+E63*H63</f>
        <v>65319008.429999992</v>
      </c>
    </row>
    <row r="60" spans="1:11" ht="75" x14ac:dyDescent="0.25">
      <c r="A60" s="13"/>
      <c r="B60" s="28"/>
      <c r="C60" s="17" t="s">
        <v>27</v>
      </c>
      <c r="D60" s="24" t="s">
        <v>28</v>
      </c>
      <c r="E60" s="19">
        <f>K60</f>
        <v>127825.8481996086</v>
      </c>
      <c r="F60" s="32">
        <f>(22018583.22+6649612.13)/511</f>
        <v>56102.143542074358</v>
      </c>
      <c r="G60" s="21">
        <f>(37328.25+409545.28+233315.04+501798.03+2488284.68)/511</f>
        <v>7182.5269667318989</v>
      </c>
      <c r="H60" s="22">
        <v>196</v>
      </c>
      <c r="I60" s="22">
        <f>H60</f>
        <v>196</v>
      </c>
      <c r="J60" s="22">
        <f>I60</f>
        <v>196</v>
      </c>
      <c r="K60" s="23">
        <f>E59/(H60+H61+H62+H63)</f>
        <v>127825.8481996086</v>
      </c>
    </row>
    <row r="61" spans="1:11" ht="75" x14ac:dyDescent="0.25">
      <c r="A61" s="13"/>
      <c r="B61" s="28"/>
      <c r="C61" s="17" t="s">
        <v>29</v>
      </c>
      <c r="D61" s="24" t="s">
        <v>30</v>
      </c>
      <c r="E61" s="19">
        <f>K60</f>
        <v>127825.8481996086</v>
      </c>
      <c r="F61" s="32">
        <f>(22018583.22+6649612.13)/511</f>
        <v>56102.143542074358</v>
      </c>
      <c r="G61" s="21">
        <f>(37328.25+409545.28+233315.04+501798.03+2488284.68)/511</f>
        <v>7182.5269667318989</v>
      </c>
      <c r="H61" s="22">
        <v>278</v>
      </c>
      <c r="I61" s="22">
        <f>H61</f>
        <v>278</v>
      </c>
      <c r="J61" s="22">
        <f>I61</f>
        <v>278</v>
      </c>
      <c r="K61" s="27"/>
    </row>
    <row r="62" spans="1:11" ht="93.75" x14ac:dyDescent="0.25">
      <c r="A62" s="13"/>
      <c r="B62" s="28"/>
      <c r="C62" s="17" t="s">
        <v>33</v>
      </c>
      <c r="D62" s="24" t="s">
        <v>34</v>
      </c>
      <c r="E62" s="19">
        <f>K60</f>
        <v>127825.8481996086</v>
      </c>
      <c r="F62" s="32">
        <f>(22018583.22+6649612.13)/511</f>
        <v>56102.143542074358</v>
      </c>
      <c r="G62" s="21">
        <f>(37328.25+409545.28+233315.04+501798.03+2488284.68)/511</f>
        <v>7182.5269667318989</v>
      </c>
      <c r="H62" s="22">
        <v>0</v>
      </c>
      <c r="I62" s="22">
        <v>0</v>
      </c>
      <c r="J62" s="22">
        <v>0</v>
      </c>
      <c r="K62" s="27"/>
    </row>
    <row r="63" spans="1:11" ht="75" x14ac:dyDescent="0.25">
      <c r="A63" s="13"/>
      <c r="B63" s="28"/>
      <c r="C63" s="17" t="s">
        <v>35</v>
      </c>
      <c r="D63" s="24" t="s">
        <v>32</v>
      </c>
      <c r="E63" s="19">
        <f>K60</f>
        <v>127825.8481996086</v>
      </c>
      <c r="F63" s="32">
        <f>(22018583.22+6649612.13)/511</f>
        <v>56102.143542074358</v>
      </c>
      <c r="G63" s="21">
        <f>(37328.25+409545.28+233315.04+501798.03+2488284.68)/511</f>
        <v>7182.5269667318989</v>
      </c>
      <c r="H63" s="22">
        <v>37</v>
      </c>
      <c r="I63" s="22">
        <f>H63</f>
        <v>37</v>
      </c>
      <c r="J63" s="22">
        <f>I63</f>
        <v>37</v>
      </c>
      <c r="K63" s="27"/>
    </row>
    <row r="64" spans="1:11" ht="93.75" x14ac:dyDescent="0.25">
      <c r="A64" s="13"/>
      <c r="B64" s="28"/>
      <c r="C64" s="17" t="s">
        <v>38</v>
      </c>
      <c r="D64" s="24" t="s">
        <v>39</v>
      </c>
      <c r="E64" s="19">
        <v>11615.774361702128</v>
      </c>
      <c r="F64" s="20">
        <v>0</v>
      </c>
      <c r="G64" s="32">
        <v>4965.8877507598791</v>
      </c>
      <c r="H64" s="31">
        <v>0</v>
      </c>
      <c r="I64" s="31">
        <v>0</v>
      </c>
      <c r="J64" s="31">
        <v>0</v>
      </c>
      <c r="K64" s="27"/>
    </row>
    <row r="65" spans="1:11" ht="75" x14ac:dyDescent="0.25">
      <c r="A65" s="13">
        <v>12</v>
      </c>
      <c r="B65" s="28" t="s">
        <v>26</v>
      </c>
      <c r="C65" s="39" t="s">
        <v>62</v>
      </c>
      <c r="D65" s="13"/>
      <c r="E65" s="14">
        <f>8363345.21+4313982.83</f>
        <v>12677328.039999999</v>
      </c>
      <c r="F65" s="22" t="s">
        <v>18</v>
      </c>
      <c r="G65" s="22" t="s">
        <v>18</v>
      </c>
      <c r="H65" s="22" t="s">
        <v>18</v>
      </c>
      <c r="I65" s="22" t="s">
        <v>18</v>
      </c>
      <c r="J65" s="22" t="s">
        <v>18</v>
      </c>
      <c r="K65" s="41"/>
    </row>
    <row r="66" spans="1:11" ht="75" x14ac:dyDescent="0.25">
      <c r="A66" s="13"/>
      <c r="B66" s="28"/>
      <c r="C66" s="17" t="s">
        <v>27</v>
      </c>
      <c r="D66" s="24" t="s">
        <v>28</v>
      </c>
      <c r="E66" s="19">
        <f>K66</f>
        <v>178553.91605633803</v>
      </c>
      <c r="F66" s="20">
        <f>(4131546.08+1247726.92)/71</f>
        <v>75764.408450704228</v>
      </c>
      <c r="G66" s="21">
        <f>(19718.08+1728566.31+58044.27+173959.43+639764.75)/71</f>
        <v>36902.152676056336</v>
      </c>
      <c r="H66" s="22">
        <v>36</v>
      </c>
      <c r="I66" s="22">
        <f>H66</f>
        <v>36</v>
      </c>
      <c r="J66" s="22">
        <f>I66</f>
        <v>36</v>
      </c>
      <c r="K66" s="23">
        <f>E65/(H66+H67)</f>
        <v>178553.91605633803</v>
      </c>
    </row>
    <row r="67" spans="1:11" ht="75" x14ac:dyDescent="0.25">
      <c r="A67" s="13"/>
      <c r="B67" s="28"/>
      <c r="C67" s="17" t="s">
        <v>29</v>
      </c>
      <c r="D67" s="24" t="s">
        <v>30</v>
      </c>
      <c r="E67" s="19">
        <f>K66</f>
        <v>178553.91605633803</v>
      </c>
      <c r="F67" s="20">
        <f>(4131546.08+1247726.92)/71</f>
        <v>75764.408450704228</v>
      </c>
      <c r="G67" s="21">
        <f>(19718.08+1728566.31+58044.27+173959.43+639764.75)/71</f>
        <v>36902.152676056336</v>
      </c>
      <c r="H67" s="22">
        <v>35</v>
      </c>
      <c r="I67" s="22">
        <f>H67</f>
        <v>35</v>
      </c>
      <c r="J67" s="22">
        <f>I67</f>
        <v>35</v>
      </c>
      <c r="K67" s="27"/>
    </row>
    <row r="68" spans="1:11" ht="18.75" x14ac:dyDescent="0.25">
      <c r="A68" s="13"/>
      <c r="B68" s="28"/>
      <c r="C68" s="60"/>
      <c r="D68" s="60"/>
      <c r="E68" s="25"/>
      <c r="F68" s="20"/>
      <c r="G68" s="20"/>
      <c r="H68" s="31"/>
      <c r="I68" s="31"/>
      <c r="J68" s="31"/>
      <c r="K68" s="27"/>
    </row>
    <row r="69" spans="1:11" ht="18.75" x14ac:dyDescent="0.25">
      <c r="A69" s="13"/>
      <c r="B69" s="28" t="s">
        <v>26</v>
      </c>
      <c r="C69" s="61" t="s">
        <v>40</v>
      </c>
      <c r="D69" s="61"/>
      <c r="E69" s="35">
        <f>E36+E40+E45+E53+E59+E65</f>
        <v>459398470.93000007</v>
      </c>
      <c r="F69" s="20"/>
      <c r="G69" s="20"/>
      <c r="H69" s="31"/>
      <c r="I69" s="31"/>
      <c r="J69" s="31"/>
      <c r="K69" s="42"/>
    </row>
    <row r="70" spans="1:11" ht="18.75" x14ac:dyDescent="0.25">
      <c r="A70" s="13"/>
      <c r="B70" s="28"/>
      <c r="C70" s="28"/>
      <c r="D70" s="43"/>
      <c r="E70" s="35"/>
      <c r="F70" s="43"/>
      <c r="G70" s="43"/>
      <c r="H70" s="31"/>
      <c r="I70" s="31"/>
      <c r="J70" s="31"/>
      <c r="K70" s="41"/>
    </row>
    <row r="71" spans="1:11" ht="75" x14ac:dyDescent="0.25">
      <c r="A71" s="13">
        <v>13</v>
      </c>
      <c r="B71" s="28" t="s">
        <v>41</v>
      </c>
      <c r="C71" s="40" t="s">
        <v>63</v>
      </c>
      <c r="D71" s="8"/>
      <c r="E71" s="14">
        <f>22439587.81</f>
        <v>22439587.809999999</v>
      </c>
      <c r="F71" s="22" t="s">
        <v>18</v>
      </c>
      <c r="G71" s="22" t="s">
        <v>18</v>
      </c>
      <c r="H71" s="22" t="s">
        <v>18</v>
      </c>
      <c r="I71" s="22" t="s">
        <v>18</v>
      </c>
      <c r="J71" s="22" t="s">
        <v>18</v>
      </c>
      <c r="K71" s="41"/>
    </row>
    <row r="72" spans="1:11" ht="75" x14ac:dyDescent="0.25">
      <c r="A72" s="13"/>
      <c r="B72" s="28"/>
      <c r="C72" s="17" t="s">
        <v>42</v>
      </c>
      <c r="D72" s="24" t="s">
        <v>43</v>
      </c>
      <c r="E72" s="19">
        <v>51585.259333330003</v>
      </c>
      <c r="F72" s="32">
        <f>(16192228+4890053)/435</f>
        <v>48465.013793103448</v>
      </c>
      <c r="G72" s="32">
        <f>(11000+1133872.72+274763.31+147069.35+304357.46)/435</f>
        <v>4301.293885057471</v>
      </c>
      <c r="H72" s="22">
        <v>435</v>
      </c>
      <c r="I72" s="22">
        <f>H72</f>
        <v>435</v>
      </c>
      <c r="J72" s="22">
        <f>I72</f>
        <v>435</v>
      </c>
      <c r="K72" s="44"/>
    </row>
    <row r="73" spans="1:11" ht="18.75" x14ac:dyDescent="0.25">
      <c r="A73" s="13"/>
      <c r="B73" s="28" t="s">
        <v>41</v>
      </c>
      <c r="C73" s="62" t="s">
        <v>44</v>
      </c>
      <c r="D73" s="62"/>
      <c r="E73" s="51"/>
      <c r="F73" s="52"/>
      <c r="G73" s="52"/>
      <c r="H73" s="31"/>
      <c r="I73" s="31"/>
      <c r="J73" s="31"/>
      <c r="K73" s="27"/>
    </row>
    <row r="74" spans="1:11" ht="18.75" x14ac:dyDescent="0.25">
      <c r="A74" s="53" t="s">
        <v>45</v>
      </c>
      <c r="B74" s="53"/>
      <c r="C74" s="53"/>
      <c r="D74" s="53"/>
      <c r="E74" s="53"/>
      <c r="F74" s="8" t="s">
        <v>18</v>
      </c>
      <c r="G74" s="8" t="s">
        <v>18</v>
      </c>
      <c r="H74" s="8" t="s">
        <v>18</v>
      </c>
      <c r="I74" s="8" t="s">
        <v>18</v>
      </c>
      <c r="J74" s="8" t="s">
        <v>18</v>
      </c>
      <c r="K74" s="10"/>
    </row>
    <row r="75" spans="1:11" ht="37.5" x14ac:dyDescent="0.25">
      <c r="A75" s="13">
        <v>14</v>
      </c>
      <c r="B75" s="28" t="s">
        <v>46</v>
      </c>
      <c r="C75" s="45" t="s">
        <v>47</v>
      </c>
      <c r="D75" s="24"/>
      <c r="E75" s="46">
        <f>15180070.56</f>
        <v>15180070.560000001</v>
      </c>
      <c r="F75" s="32"/>
      <c r="G75" s="32"/>
      <c r="H75" s="22"/>
      <c r="I75" s="22"/>
      <c r="J75" s="22"/>
      <c r="K75" s="47">
        <f>(E76*H76)+(E77*H77)</f>
        <v>15180070.559999999</v>
      </c>
    </row>
    <row r="76" spans="1:11" ht="75" x14ac:dyDescent="0.25">
      <c r="A76" s="13"/>
      <c r="B76" s="28" t="s">
        <v>46</v>
      </c>
      <c r="C76" s="17" t="s">
        <v>48</v>
      </c>
      <c r="D76" s="24" t="s">
        <v>49</v>
      </c>
      <c r="E76" s="19">
        <f>K76</f>
        <v>261725.35448275862</v>
      </c>
      <c r="F76" s="32">
        <f>(7268090+2194963)/58</f>
        <v>163156.08620689655</v>
      </c>
      <c r="G76" s="32">
        <f>(5750162.56+150321.59+340244.67+541352.98)/58</f>
        <v>116932.44482758619</v>
      </c>
      <c r="H76" s="22">
        <v>27</v>
      </c>
      <c r="I76" s="22">
        <f>H76</f>
        <v>27</v>
      </c>
      <c r="J76" s="22">
        <f>I76</f>
        <v>27</v>
      </c>
      <c r="K76" s="30">
        <f>E75/(H76+H77)</f>
        <v>261725.35448275862</v>
      </c>
    </row>
    <row r="77" spans="1:11" ht="75" x14ac:dyDescent="0.25">
      <c r="A77" s="13"/>
      <c r="B77" s="28" t="s">
        <v>46</v>
      </c>
      <c r="C77" s="17" t="s">
        <v>48</v>
      </c>
      <c r="D77" s="24" t="s">
        <v>50</v>
      </c>
      <c r="E77" s="19">
        <f>K76</f>
        <v>261725.35448275862</v>
      </c>
      <c r="F77" s="32">
        <f>(7268090+2194963)/58</f>
        <v>163156.08620689655</v>
      </c>
      <c r="G77" s="32">
        <f>(5750162.56+150321.59+340244.67+541352.98)/58</f>
        <v>116932.44482758619</v>
      </c>
      <c r="H77" s="22">
        <v>31</v>
      </c>
      <c r="I77" s="22">
        <f>H77</f>
        <v>31</v>
      </c>
      <c r="J77" s="22">
        <f>I77</f>
        <v>31</v>
      </c>
      <c r="K77" s="44"/>
    </row>
  </sheetData>
  <mergeCells count="17">
    <mergeCell ref="E8:E9"/>
    <mergeCell ref="A74:E74"/>
    <mergeCell ref="H1:J1"/>
    <mergeCell ref="H2:J2"/>
    <mergeCell ref="H3:J3"/>
    <mergeCell ref="F8:G8"/>
    <mergeCell ref="H8:J8"/>
    <mergeCell ref="C35:D35"/>
    <mergeCell ref="C68:D68"/>
    <mergeCell ref="C69:D69"/>
    <mergeCell ref="C73:D73"/>
    <mergeCell ref="B4:G4"/>
    <mergeCell ref="A6:J6"/>
    <mergeCell ref="A8:A9"/>
    <mergeCell ref="B8:B9"/>
    <mergeCell ref="C8:C9"/>
    <mergeCell ref="D8:D9"/>
  </mergeCells>
  <hyperlinks>
    <hyperlink ref="C14" location="Par866" display="Par866"/>
    <hyperlink ref="C17" location="Par866" display="Par866"/>
    <hyperlink ref="C21" location="Par866" display="Par866"/>
    <hyperlink ref="C25" location="Par866" display="Par866"/>
    <hyperlink ref="C29" location="Par866" display="Par866"/>
    <hyperlink ref="C33" location="Par866" display="Par866"/>
  </hyperlinks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2025-12-21T22:54:28Z</dcterms:modified>
</cp:coreProperties>
</file>