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persons/person.xml" ContentType="application/vnd.ms-excel.person+xml"/>
  <Override PartName="/xl/comments2.xml" ContentType="application/vnd.openxmlformats-officedocument.spreadsheetml.comments+xml"/>
  <Override PartName="/xl/worksheets/sheet2.xml" ContentType="application/vnd.openxmlformats-officedocument.spreadsheetml.worksheet+xml"/>
  <Override PartName="/xl/threadedComments/threadedComment2.xml" ContentType="application/vnd.ms-excel.threadedcomment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2026" sheetId="1" state="visible" r:id="rId2"/>
    <sheet name="2027" sheetId="2" state="visible" r:id="rId3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tc={004F001A-00A5-4449-9207-007F002A0017}</author>
    <author>tc={004900DA-0089-4138-BA07-00E400BB0063}</author>
    <author>tc={00BF00ED-0028-4684-94B5-0021001C0047}</author>
    <author>tc={00810038-00B6-4AF3-BB4D-00A100FD005C}</author>
    <author>tc={006300F3-004B-4AFB-8FD4-00E300B400B0}</author>
    <author>tc={00BF002D-0061-4D49-9B8E-00FA00BA0045}</author>
    <author>tc={0084009C-00AC-4A27-BDB9-001A00D900BB}</author>
  </authors>
  <commentList>
    <comment ref="F11" authorId="0" xr:uid="{004F001A-00A5-4449-9207-007F002A0017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Зарплата КР.Б (ст.211+ст.213)/численность детей
</t>
        </r>
      </text>
    </comment>
    <comment ref="G11" authorId="1" xr:uid="{004900DA-0089-4138-BA07-00E400BB0063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221+223+225+226+310+310+340-птание+КБ учебные
/численность
</t>
        </r>
      </text>
    </comment>
    <comment ref="E13" authorId="2" xr:uid="{00BF00ED-0028-4684-94B5-0021001C0047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питание 5776503,95руб + план питание Род.плата 19032227,18 руб/ 1152 детей план год=21535,36 средняя
</t>
        </r>
      </text>
    </comment>
    <comment ref="E21" authorId="3" xr:uid="{00810038-00B6-4AF3-BB4D-00A100FD005C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859266,00руб + план Род.плата 20 648 427,82 руб/ 1218детей план год=17 658,21 средняя
</t>
        </r>
      </text>
    </comment>
    <comment ref="E25" authorId="4" xr:uid="{006300F3-004B-4AFB-8FD4-00E300B400B0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859266,00руб + план Род.плата 20 648 427,82 руб/ 1218детей план год=17 658,21 средняя
</t>
        </r>
      </text>
    </comment>
    <comment ref="E29" authorId="5" xr:uid="{00BF002D-0061-4D49-9B8E-00FA00BA0045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859266,00руб + план Род.плата 20 648 427,82 руб/ 1218детей план год=17 658,21 средняя
</t>
        </r>
      </text>
    </comment>
    <comment ref="E10" authorId="6" xr:uid="{0084009C-00AC-4A27-BDB9-001A00D900BB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 КР.Б (13М)весь + М.Б весь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tc={5255205D-87A7-5163-CADB-FF6F4D1E5668}</author>
    <author>tc={E50D0D4B-4BF9-CEF4-B235-44B96D0B3A8E}</author>
    <author>tc={9AE949E1-2B6B-6C13-7E25-0A143CA08D76}</author>
    <author>tc={8268BB70-1B8F-AB09-D714-44645B93AA83}</author>
    <author>tc={4687342B-6037-DA6C-3087-8A81BCF719C4}</author>
    <author>tc={C9E7117B-9FDC-9A5D-09DF-49D1CC8A1F72}</author>
    <author>tc={93D392E3-BFC1-116F-CD7C-783245D9DD4E}</author>
  </authors>
  <commentList>
    <comment ref="F11" authorId="0" xr:uid="{5255205D-87A7-5163-CADB-FF6F4D1E5668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Зарплата КР.Б (ст.211+ст.213)/численность детей
</t>
        </r>
      </text>
    </comment>
    <comment ref="G11" authorId="1" xr:uid="{E50D0D4B-4BF9-CEF4-B235-44B96D0B3A8E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221+223+225+226+310+310+340-птание+КБ учебные
/численность
</t>
        </r>
      </text>
    </comment>
    <comment ref="E13" authorId="2" xr:uid="{9AE949E1-2B6B-6C13-7E25-0A143CA08D76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питание 5776503,95руб + план питание Род.плата 19032227,18 руб/ 1152 детей план год=21535,36 средняя
</t>
        </r>
      </text>
    </comment>
    <comment ref="E21" authorId="3" xr:uid="{8268BB70-1B8F-AB09-D714-44645B93AA83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859266,00руб + план Род.плата 20 648 427,82 руб/ 1218детей план год=17 658,21 средняя
</t>
        </r>
      </text>
    </comment>
    <comment ref="E25" authorId="4" xr:uid="{4687342B-6037-DA6C-3087-8A81BCF719C4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859266,00руб + план Род.плата 20 648 427,82 руб/ 1218детей план год=17 658,21 средняя
</t>
        </r>
      </text>
    </comment>
    <comment ref="E29" authorId="5" xr:uid="{C9E7117B-9FDC-9A5D-09DF-49D1CC8A1F72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сумма плановую выделенную по М.Б 859266,00руб + план Род.плата 20 648 427,82 руб/ 1218детей план год=17 658,21 средняя
</t>
        </r>
      </text>
    </comment>
    <comment ref="E10" authorId="6" xr:uid="{93D392E3-BFC1-116F-CD7C-783245D9DD4E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 КР.Б (13М)весь + М.Б весь
</t>
        </r>
      </text>
    </comment>
  </commentList>
</comments>
</file>

<file path=xl/sharedStrings.xml><?xml version="1.0" encoding="utf-8"?>
<sst xmlns="http://schemas.openxmlformats.org/spreadsheetml/2006/main" count="65" uniqueCount="65">
  <si>
    <t xml:space="preserve">Приложение № 1 </t>
  </si>
  <si>
    <t xml:space="preserve">                                                                                                  </t>
  </si>
  <si>
    <t xml:space="preserve">УТВЕРЖДЕН                                                                  постановлением администрации Дальнереченского городского округа                от    10.08.2026  №  738-па</t>
  </si>
  <si>
    <t xml:space="preserve">Размер базового норматива затрат на оказание муниципальной услуги и норматива затрат на содержание имущества муниципальных бюджетных учреждений образования Дальнереченского городского округа на 2026 год</t>
  </si>
  <si>
    <t xml:space="preserve">№ п/п</t>
  </si>
  <si>
    <t>Подраздел</t>
  </si>
  <si>
    <t xml:space="preserve">Наименование муниципальных учреждений, оказывающих муниципальную услугу</t>
  </si>
  <si>
    <t xml:space="preserve">Реестровый номер по общероссийскому базовому перечню услуг и работ</t>
  </si>
  <si>
    <t xml:space="preserve">Базовый норматив затрат на оказание муниципальной услуги, руб.</t>
  </si>
  <si>
    <t xml:space="preserve">в том числе:</t>
  </si>
  <si>
    <t xml:space="preserve">Суммы затрат на оплату труда с начислениями на выплаты по оплате труда работников, непосредственно связанных с оказанием муниципальной услуги, руб.</t>
  </si>
  <si>
    <t xml:space="preserve">Суммы затрат на коммунальные услуги и содержание недвижимого имущества, необходимого для выполнения муниципального задания на оказание услуги, руб.</t>
  </si>
  <si>
    <t xml:space="preserve">очередной 2026 год</t>
  </si>
  <si>
    <t xml:space="preserve">первый год планового периода       2027 год</t>
  </si>
  <si>
    <t xml:space="preserve">второй год планового периода 2028 год</t>
  </si>
  <si>
    <t>1.</t>
  </si>
  <si>
    <t>0701</t>
  </si>
  <si>
    <t xml:space="preserve">МБДОУ  «Детский сад № 1» с.Лазо Дальнереченского городского округа </t>
  </si>
  <si>
    <t>х</t>
  </si>
  <si>
    <t xml:space="preserve">Реализация основных общеобразовательных программ дошкольного образования</t>
  </si>
  <si>
    <t>801011О.99.0.БВ24ДН82000</t>
  </si>
  <si>
    <t xml:space="preserve">Присмотр и уход </t>
  </si>
  <si>
    <t>853211О.99.0.БВ19АА56000</t>
  </si>
  <si>
    <t xml:space="preserve">Присмотр и уход</t>
  </si>
  <si>
    <t>853211О.99.0.БВ19АА14000</t>
  </si>
  <si>
    <t xml:space="preserve">МБДОУ  «ЦРР-детский сад № 4» Дальнереченского городского округа</t>
  </si>
  <si>
    <t xml:space="preserve">МБДОУ  «ЦРР-детский сад № 5» Дальнереченского городского округа</t>
  </si>
  <si>
    <t xml:space="preserve">МБДОУ  «Детский сад № 7» Дальнереченского городского округа</t>
  </si>
  <si>
    <t xml:space="preserve">МБДОУ  «ЦРР-детский сад № 10» Дальнереченского городского округа</t>
  </si>
  <si>
    <t xml:space="preserve">ИТОГО по дошкольному образованию</t>
  </si>
  <si>
    <t>0702</t>
  </si>
  <si>
    <t xml:space="preserve">МБОУ  «Лицей» Дальнереченского городского округа</t>
  </si>
  <si>
    <t xml:space="preserve">Реализация основных общеобразовательных программ начального общего образования</t>
  </si>
  <si>
    <t>801012О.99.0.БА81АЭ92001</t>
  </si>
  <si>
    <t xml:space="preserve">Реализация основных общеобразовательных программ основного общего образования</t>
  </si>
  <si>
    <t>802111О.99.0.БА96АЮ58001</t>
  </si>
  <si>
    <t xml:space="preserve">Реализация основных общеобразовательных программ среднего общего образования</t>
  </si>
  <si>
    <t>802112О.99.0.ББ11АЮ58001</t>
  </si>
  <si>
    <t xml:space="preserve">МБОУ  «СОШ № 2 имени Героя Советского Союза старшего лейтенанта И.И.Стрельникова» Дальнереченского городского округа</t>
  </si>
  <si>
    <t xml:space="preserve">Реализация основных общеобразовательных программ основного общего образования (заочная)</t>
  </si>
  <si>
    <t>802111О.99.0.БА96АЮ66001</t>
  </si>
  <si>
    <t xml:space="preserve">МБОУ  «Центр образования «Импульс» Дальнереченского городского округа</t>
  </si>
  <si>
    <t>'853211О.99.0.БВ19АА14000</t>
  </si>
  <si>
    <t xml:space="preserve">МБОУ «СОШ № 5» Дальнереченского городского округа</t>
  </si>
  <si>
    <t>11787000301000109006100</t>
  </si>
  <si>
    <t xml:space="preserve">Реализация основных общеобразовательных программсреднего общего образования</t>
  </si>
  <si>
    <t xml:space="preserve">Реализация основных общеобразовательных программсреднего общего образования (заочная)</t>
  </si>
  <si>
    <t>802112О.99.0.ББ11АЮ66001</t>
  </si>
  <si>
    <t xml:space="preserve">МБОУ  «СОШ № 6» Дальнереченского городского округа</t>
  </si>
  <si>
    <t xml:space="preserve">МБОУ   «ООШ № 12» Дальнереченского городского округа</t>
  </si>
  <si>
    <t xml:space="preserve">ИТОГО по общему образованию</t>
  </si>
  <si>
    <t>0703</t>
  </si>
  <si>
    <t xml:space="preserve">МБОУ ДОД «ДЮСШ» Дальнереченского городского округа</t>
  </si>
  <si>
    <t xml:space="preserve">Реализация дополнительных общеразвивающих программ</t>
  </si>
  <si>
    <t>804200О.99.0.ББ52АИ16000</t>
  </si>
  <si>
    <t xml:space="preserve">ИТОГО по дополнительному образованию</t>
  </si>
  <si>
    <t xml:space="preserve">ВСЕГО по типу учреждений (целевой статье)</t>
  </si>
  <si>
    <t>1102</t>
  </si>
  <si>
    <t xml:space="preserve">МБУ  «ДЮСШ»-объекты спорта</t>
  </si>
  <si>
    <t xml:space="preserve">Спортивная подготовка по олимпийским видам спорта</t>
  </si>
  <si>
    <t>931900О.99.0.БВ27АА25001</t>
  </si>
  <si>
    <t>931900О.99.0.БВ27АВ15001</t>
  </si>
  <si>
    <t xml:space="preserve">Приложение № 2 </t>
  </si>
  <si>
    <t xml:space="preserve"> УТВЕРЖДЕН                                                                   постановлением администрации Дальнереченского городского округа                от    10.08.2026  №  738-па</t>
  </si>
  <si>
    <t xml:space="preserve">Размер базового норматива затрат на оказание муниципальной услуги и норматива затрат на содержание имущества муниципальных бюджетных учреждений образования Дальнереченского городского округа на 2027 год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</si>
</sst>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000"/>
    <numFmt numFmtId="161" formatCode="#,##0.0000"/>
    <numFmt numFmtId="162" formatCode="0.00000"/>
  </numFmts>
  <fonts count="10">
    <font>
      <sz val="11.000000"/>
      <color theme="1"/>
      <name val="Calibri"/>
      <scheme val="minor"/>
    </font>
    <font>
      <u/>
      <sz val="11.000000"/>
      <color theme="10"/>
      <name val="Calibri"/>
    </font>
    <font>
      <sz val="24.000000"/>
      <name val="Times New Roman"/>
    </font>
    <font>
      <sz val="11.000000"/>
      <name val="Times New Roman"/>
    </font>
    <font>
      <sz val="12.000000"/>
      <name val="Times New Roman"/>
    </font>
    <font>
      <sz val="14.000000"/>
      <name val="Times New Roman"/>
    </font>
    <font>
      <b/>
      <sz val="14.000000"/>
      <name val="Times New Roman"/>
    </font>
    <font>
      <sz val="14.000000"/>
      <color theme="0"/>
      <name val="Times New Roman"/>
    </font>
    <font>
      <sz val="12.000000"/>
      <color indexed="2"/>
      <name val="Times New Roman"/>
    </font>
    <font>
      <b/>
      <sz val="12.000000"/>
      <color indexed="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rgb="FFFFFFDD"/>
        <bgColor rgb="FFFFFFDD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>
      <alignment vertical="top"/>
      <protection locked="0"/>
    </xf>
  </cellStyleXfs>
  <cellXfs count="56">
    <xf fontId="0" fillId="0" borderId="0" numFmtId="0" xfId="0"/>
    <xf fontId="2" fillId="0" borderId="0" numFmtId="0" xfId="0" applyFont="1" applyAlignment="1">
      <alignment horizontal="center" vertical="top" wrapText="1"/>
    </xf>
    <xf fontId="3" fillId="0" borderId="0" numFmtId="0" xfId="0" applyFont="1" applyAlignment="1">
      <alignment vertical="top" wrapText="1"/>
    </xf>
    <xf fontId="4" fillId="0" borderId="0" numFmtId="0" xfId="0" applyFont="1" applyAlignment="1">
      <alignment vertical="top" wrapText="1"/>
    </xf>
    <xf fontId="5" fillId="0" borderId="0" numFmtId="0" xfId="0" applyFont="1" applyAlignment="1">
      <alignment horizontal="left" vertical="top" wrapText="1"/>
    </xf>
    <xf fontId="5" fillId="0" borderId="0" numFmtId="0" xfId="0" applyFont="1" applyAlignment="1">
      <alignment vertical="top" wrapText="1"/>
    </xf>
    <xf fontId="6" fillId="0" borderId="0" numFmtId="0" xfId="0" applyFont="1" applyAlignment="1">
      <alignment horizontal="center"/>
    </xf>
    <xf fontId="5" fillId="0" borderId="0" numFmtId="0" xfId="0" applyFont="1" applyAlignment="1">
      <alignment horizontal="justify"/>
    </xf>
    <xf fontId="5" fillId="0" borderId="0" numFmtId="0" xfId="0" applyFont="1"/>
    <xf fontId="3" fillId="0" borderId="0" numFmtId="0" xfId="0" applyFont="1"/>
    <xf fontId="5" fillId="0" borderId="1" numFmtId="0" xfId="0" applyFont="1" applyBorder="1" applyAlignment="1">
      <alignment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top" wrapText="1"/>
    </xf>
    <xf fontId="5" fillId="0" borderId="1" numFmtId="0" xfId="0" applyFont="1" applyBorder="1" applyAlignment="1">
      <alignment vertical="top" wrapText="1"/>
    </xf>
    <xf fontId="4" fillId="0" borderId="0" numFmtId="0" xfId="0" applyFont="1" applyAlignment="1">
      <alignment horizontal="center" vertical="top" wrapText="1"/>
    </xf>
    <xf fontId="5" fillId="2" borderId="1" numFmtId="0" xfId="0" applyFont="1" applyFill="1" applyBorder="1" applyAlignment="1">
      <alignment horizontal="center" vertical="top" wrapText="1"/>
    </xf>
    <xf fontId="5" fillId="2" borderId="1" numFmtId="0" xfId="0" applyFont="1" applyFill="1" applyBorder="1" applyAlignment="1">
      <alignment horizontal="center" vertical="top"/>
    </xf>
    <xf fontId="6" fillId="2" borderId="1" numFmtId="0" xfId="0" applyFont="1" applyFill="1" applyBorder="1" applyAlignment="1">
      <alignment vertical="center" wrapText="1"/>
    </xf>
    <xf fontId="6" fillId="2" borderId="1" numFmtId="4" xfId="0" applyNumberFormat="1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4" fillId="3" borderId="0" numFmtId="4" xfId="0" applyNumberFormat="1" applyFont="1" applyFill="1" applyAlignment="1">
      <alignment horizontal="center" vertical="top" wrapText="1"/>
    </xf>
    <xf fontId="5" fillId="2" borderId="1" numFmtId="0" xfId="1" applyFont="1" applyFill="1" applyBorder="1" applyAlignment="1" applyProtection="1">
      <alignment vertical="top" wrapText="1"/>
    </xf>
    <xf fontId="5" fillId="2" borderId="1" numFmtId="1" xfId="0" applyNumberFormat="1" applyFont="1" applyFill="1" applyBorder="1" applyAlignment="1" quotePrefix="1">
      <alignment horizontal="center" vertical="top" wrapText="1"/>
    </xf>
    <xf fontId="5" fillId="2" borderId="1" numFmtId="160" xfId="1" applyNumberFormat="1" applyFont="1" applyFill="1" applyBorder="1" applyAlignment="1" applyProtection="1">
      <alignment horizontal="center" vertical="center" wrapText="1"/>
    </xf>
    <xf fontId="5" fillId="2" borderId="1" numFmtId="4" xfId="0" applyNumberFormat="1" applyFont="1" applyFill="1" applyBorder="1" applyAlignment="1">
      <alignment horizontal="center" vertical="center" wrapText="1"/>
    </xf>
    <xf fontId="5" fillId="2" borderId="1" numFmtId="161" xfId="0" applyNumberFormat="1" applyFont="1" applyFill="1" applyBorder="1" applyAlignment="1">
      <alignment horizontal="center" vertical="center" wrapText="1"/>
    </xf>
    <xf fontId="4" fillId="0" borderId="0" numFmtId="160" xfId="0" applyNumberFormat="1" applyFont="1" applyAlignment="1">
      <alignment horizontal="center" vertical="top" wrapText="1"/>
    </xf>
    <xf fontId="5" fillId="2" borderId="1" numFmtId="0" xfId="0" applyFont="1" applyFill="1" applyBorder="1" applyAlignment="1" quotePrefix="1">
      <alignment horizontal="center" vertical="top" wrapText="1"/>
    </xf>
    <xf fontId="5" fillId="2" borderId="1" numFmtId="4" xfId="1" applyNumberFormat="1" applyFont="1" applyFill="1" applyBorder="1" applyAlignment="1" applyProtection="1">
      <alignment horizontal="center" vertical="center" wrapText="1"/>
    </xf>
    <xf fontId="5" fillId="2" borderId="1" numFmtId="2" xfId="0" applyNumberFormat="1" applyFont="1" applyFill="1" applyBorder="1" applyAlignment="1">
      <alignment horizontal="center" vertical="center" wrapText="1"/>
    </xf>
    <xf fontId="5" fillId="2" borderId="1" numFmtId="49" xfId="0" applyNumberFormat="1" applyFont="1" applyFill="1" applyBorder="1" applyAlignment="1">
      <alignment horizontal="center" vertical="top" wrapText="1"/>
    </xf>
    <xf fontId="4" fillId="0" borderId="0" numFmtId="160" xfId="0" applyNumberFormat="1" applyFont="1" applyAlignment="1">
      <alignment horizontal="center" vertical="center" wrapText="1"/>
    </xf>
    <xf fontId="5" fillId="2" borderId="1" numFmtId="0" xfId="0" applyFont="1" applyFill="1" applyBorder="1" applyAlignment="1">
      <alignment vertical="center" wrapText="1"/>
    </xf>
    <xf fontId="5" fillId="2" borderId="1" numFmtId="160" xfId="0" applyNumberFormat="1" applyFont="1" applyFill="1" applyBorder="1" applyAlignment="1">
      <alignment horizontal="center" vertical="center" wrapText="1"/>
    </xf>
    <xf fontId="5" fillId="2" borderId="1" numFmtId="2" xfId="1" applyNumberFormat="1" applyFont="1" applyFill="1" applyBorder="1" applyAlignment="1" applyProtection="1">
      <alignment horizontal="center" vertical="center" wrapText="1"/>
    </xf>
    <xf fontId="7" fillId="2" borderId="1" numFmtId="0" xfId="0" applyFont="1" applyFill="1" applyBorder="1" applyAlignment="1">
      <alignment horizontal="center" vertical="top" wrapText="1"/>
    </xf>
    <xf fontId="6" fillId="2" borderId="1" numFmtId="49" xfId="0" applyNumberFormat="1" applyFont="1" applyFill="1" applyBorder="1" applyAlignment="1" quotePrefix="1">
      <alignment horizontal="left" vertical="center" wrapText="1"/>
    </xf>
    <xf fontId="6" fillId="2" borderId="1" numFmtId="4" xfId="0" applyNumberFormat="1" applyFont="1" applyFill="1" applyBorder="1" applyAlignment="1" quotePrefix="1">
      <alignment horizontal="center" vertical="center" wrapText="1"/>
    </xf>
    <xf fontId="7" fillId="2" borderId="1" numFmtId="4" xfId="0" applyNumberFormat="1" applyFont="1" applyFill="1" applyBorder="1" applyAlignment="1">
      <alignment vertical="top" wrapText="1"/>
    </xf>
    <xf fontId="7" fillId="2" borderId="1" numFmtId="0" xfId="0" applyFont="1" applyFill="1" applyBorder="1" applyAlignment="1">
      <alignment vertical="center" wrapText="1"/>
    </xf>
    <xf fontId="8" fillId="0" borderId="0" numFmtId="4" xfId="0" applyNumberFormat="1" applyFont="1" applyAlignment="1">
      <alignment horizontal="center" vertical="top" wrapText="1"/>
    </xf>
    <xf fontId="6" fillId="2" borderId="1" numFmtId="0" xfId="0" applyFont="1" applyFill="1" applyBorder="1" applyAlignment="1">
      <alignment vertical="top" wrapText="1"/>
    </xf>
    <xf fontId="4" fillId="0" borderId="0" numFmtId="4" xfId="0" applyNumberFormat="1" applyFont="1" applyAlignment="1">
      <alignment horizontal="center" vertical="top" wrapText="1"/>
    </xf>
    <xf fontId="5" fillId="2" borderId="1" numFmtId="162" xfId="1" applyNumberFormat="1" applyFont="1" applyFill="1" applyBorder="1" applyAlignment="1" applyProtection="1">
      <alignment horizontal="center" vertical="center" wrapText="1"/>
    </xf>
    <xf fontId="6" fillId="2" borderId="1" numFmtId="49" xfId="0" applyNumberFormat="1" applyFont="1" applyFill="1" applyBorder="1" applyAlignment="1">
      <alignment horizontal="left" vertical="top" wrapText="1"/>
    </xf>
    <xf fontId="6" fillId="2" borderId="1" numFmtId="0" xfId="0" applyFont="1" applyFill="1" applyBorder="1" applyAlignment="1" quotePrefix="1">
      <alignment horizontal="left" vertical="center" wrapText="1"/>
    </xf>
    <xf fontId="9" fillId="0" borderId="0" numFmtId="4" xfId="0" applyNumberFormat="1" applyFont="1" applyAlignment="1">
      <alignment horizontal="center" vertical="top" wrapText="1"/>
    </xf>
    <xf fontId="6" fillId="2" borderId="1" numFmtId="0" xfId="0" applyFont="1" applyFill="1" applyBorder="1" applyAlignment="1" quotePrefix="1">
      <alignment horizontal="center" vertical="center" wrapText="1"/>
    </xf>
    <xf fontId="9" fillId="0" borderId="0" numFmtId="4" xfId="0" applyNumberFormat="1" applyFont="1" applyAlignment="1">
      <alignment horizontal="center" vertical="center" wrapText="1"/>
    </xf>
    <xf fontId="6" fillId="2" borderId="1" numFmtId="0" xfId="0" applyFont="1" applyFill="1" applyBorder="1" applyAlignment="1" quotePrefix="1">
      <alignment horizontal="left" vertical="top" wrapText="1"/>
    </xf>
    <xf fontId="6" fillId="2" borderId="1" numFmtId="0" xfId="0" applyFont="1" applyFill="1" applyBorder="1" applyAlignment="1" quotePrefix="1">
      <alignment vertical="top" wrapText="1"/>
    </xf>
    <xf fontId="5" fillId="2" borderId="1" numFmtId="4" xfId="0" applyNumberFormat="1" applyFont="1" applyFill="1" applyBorder="1" applyAlignment="1">
      <alignment vertical="top" wrapText="1"/>
    </xf>
    <xf fontId="5" fillId="2" borderId="1" numFmtId="0" xfId="0" applyFont="1" applyFill="1" applyBorder="1" applyAlignment="1">
      <alignment horizontal="left" vertical="top" wrapText="1"/>
    </xf>
    <xf fontId="6" fillId="2" borderId="1" numFmtId="0" xfId="1" applyFont="1" applyFill="1" applyBorder="1" applyAlignment="1" applyProtection="1">
      <alignment vertical="top" wrapText="1"/>
    </xf>
    <xf fontId="6" fillId="2" borderId="1" numFmtId="4" xfId="1" applyNumberFormat="1" applyFont="1" applyFill="1" applyBorder="1" applyAlignment="1" applyProtection="1">
      <alignment horizontal="center" vertical="center" wrapText="1"/>
    </xf>
    <xf fontId="4" fillId="0" borderId="0" numFmtId="4" xfId="0" applyNumberFormat="1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D4160375-F28F-1121-68A1-F70A501192E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1" personId="{D4160375-F28F-1121-68A1-F70A501192E4}" id="{004F001A-00A5-4449-9207-007F002A0017}" done="0">
    <text xml:space="preserve">Зарплата КР.Б (ст.211+ст.213)/численность детей
</text>
  </threadedComment>
  <threadedComment ref="G11" personId="{D4160375-F28F-1121-68A1-F70A501192E4}" id="{004900DA-0089-4138-BA07-00E400BB0063}" done="0">
    <text xml:space="preserve">221+223+225+226+310+310+340-птание+КБ учебные
/численность
</text>
  </threadedComment>
  <threadedComment ref="E13" personId="{D4160375-F28F-1121-68A1-F70A501192E4}" id="{00BF00ED-0028-4684-94B5-0021001C0047}" done="0">
    <text xml:space="preserve">сумма плановую выделенную по М.Б питание 5776503,95руб + план питание Род.плата 19032227,18 руб/ 1152 детей план год=21535,36 средняя
</text>
  </threadedComment>
  <threadedComment ref="E21" personId="{D4160375-F28F-1121-68A1-F70A501192E4}" id="{00810038-00B6-4AF3-BB4D-00A100FD005C}" done="0">
    <text xml:space="preserve">сумма плановую выделенную по М.Б 859266,00руб + план Род.плата 20 648 427,82 руб/ 1218детей план год=17 658,21 средняя
</text>
  </threadedComment>
  <threadedComment ref="E25" personId="{D4160375-F28F-1121-68A1-F70A501192E4}" id="{006300F3-004B-4AFB-8FD4-00E300B400B0}" done="0">
    <text xml:space="preserve">сумма плановую выделенную по М.Б 859266,00руб + план Род.плата 20 648 427,82 руб/ 1218детей план год=17 658,21 средняя
</text>
  </threadedComment>
  <threadedComment ref="E29" personId="{D4160375-F28F-1121-68A1-F70A501192E4}" id="{00BF002D-0061-4D49-9B8E-00FA00BA0045}" done="0">
    <text xml:space="preserve">сумма плановую выделенную по М.Б 859266,00руб + план Род.плата 20 648 427,82 руб/ 1218детей план год=17 658,21 средняя
</text>
  </threadedComment>
  <threadedComment ref="E10" personId="{D4160375-F28F-1121-68A1-F70A501192E4}" id="{0084009C-00AC-4A27-BDB9-001A00D900BB}" done="0">
    <text xml:space="preserve"> КР.Б (13М)весь + М.Б весь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1" personId="{D4160375-F28F-1121-68A1-F70A501192E4}" id="{5255205D-87A7-5163-CADB-FF6F4D1E5668}" done="0">
    <text xml:space="preserve">Зарплата КР.Б (ст.211+ст.213)/численность детей
</text>
  </threadedComment>
  <threadedComment ref="G11" personId="{D4160375-F28F-1121-68A1-F70A501192E4}" id="{E50D0D4B-4BF9-CEF4-B235-44B96D0B3A8E}" done="0">
    <text xml:space="preserve">221+223+225+226+310+310+340-птание+КБ учебные
/численность
</text>
  </threadedComment>
  <threadedComment ref="E13" personId="{D4160375-F28F-1121-68A1-F70A501192E4}" id="{9AE949E1-2B6B-6C13-7E25-0A143CA08D76}" done="0">
    <text xml:space="preserve">сумма плановую выделенную по М.Б питание 5776503,95руб + план питание Род.плата 19032227,18 руб/ 1152 детей план год=21535,36 средняя
</text>
  </threadedComment>
  <threadedComment ref="E21" personId="{D4160375-F28F-1121-68A1-F70A501192E4}" id="{8268BB70-1B8F-AB09-D714-44645B93AA83}" done="0">
    <text xml:space="preserve">сумма плановую выделенную по М.Б 859266,00руб + план Род.плата 20 648 427,82 руб/ 1218детей план год=17 658,21 средняя
</text>
  </threadedComment>
  <threadedComment ref="E25" personId="{D4160375-F28F-1121-68A1-F70A501192E4}" id="{4687342B-6037-DA6C-3087-8A81BCF719C4}" done="0">
    <text xml:space="preserve">сумма плановую выделенную по М.Б 859266,00руб + план Род.плата 20 648 427,82 руб/ 1218детей план год=17 658,21 средняя
</text>
  </threadedComment>
  <threadedComment ref="E29" personId="{D4160375-F28F-1121-68A1-F70A501192E4}" id="{C9E7117B-9FDC-9A5D-09DF-49D1CC8A1F72}" done="0">
    <text xml:space="preserve">сумма плановую выделенную по М.Б 859266,00руб + план Род.плата 20 648 427,82 руб/ 1218детей план год=17 658,21 средняя
</text>
  </threadedComment>
  <threadedComment ref="E10" personId="{D4160375-F28F-1121-68A1-F70A501192E4}" id="{93D392E3-BFC1-116F-CD7C-783245D9DD4E}" done="0">
    <text xml:space="preserve"> КР.Б (13М)весь + М.Б весь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_rels/sheet2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2.vml"/><Relationship  Id="rId2" Type="http://schemas.openxmlformats.org/officeDocument/2006/relationships/comments" Target="../comments2.xml"/><Relationship  Id="rId1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H2" activeCellId="0" sqref="H2:J2"/>
    </sheetView>
  </sheetViews>
  <sheetFormatPr defaultRowHeight="14.25"/>
  <cols>
    <col customWidth="1" min="3" max="3" width="28.5703125"/>
    <col customWidth="1" min="4" max="4" width="35.5703125"/>
    <col customWidth="1" min="5" max="5" width="28.28515625"/>
    <col customWidth="1" min="6" max="6" width="29.85546875"/>
    <col customWidth="1" min="7" max="7" width="25.140625"/>
    <col customWidth="1" min="8" max="8" width="21.85546875"/>
    <col customWidth="1" min="9" max="9" width="20.5703125"/>
    <col customWidth="1" min="10" max="10" width="22"/>
    <col customWidth="1" min="11" max="11" width="29"/>
  </cols>
  <sheetData>
    <row r="1" ht="54" customHeight="1">
      <c r="G1" s="1" t="s">
        <v>0</v>
      </c>
      <c r="H1" s="1"/>
      <c r="I1" s="1"/>
      <c r="J1" s="1"/>
    </row>
    <row r="2" ht="129.75" customHeight="1">
      <c r="A2" s="2"/>
      <c r="B2" s="3"/>
      <c r="C2" s="3"/>
      <c r="D2" s="3"/>
      <c r="E2" s="3"/>
      <c r="F2" s="4" t="s">
        <v>1</v>
      </c>
      <c r="G2" s="1" t="s">
        <v>2</v>
      </c>
      <c r="H2" s="1"/>
      <c r="I2" s="1"/>
      <c r="J2" s="1"/>
      <c r="K2" s="2"/>
    </row>
    <row r="3" ht="32.25" customHeight="1">
      <c r="A3" s="5"/>
      <c r="B3" s="6"/>
      <c r="C3" s="6"/>
      <c r="D3" s="6"/>
      <c r="E3" s="6"/>
      <c r="F3" s="6"/>
      <c r="G3" s="6"/>
      <c r="H3" s="5"/>
      <c r="I3" s="5"/>
      <c r="J3" s="5"/>
      <c r="K3" s="5"/>
    </row>
    <row r="4" ht="17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60.75" customHeight="1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5"/>
    </row>
    <row r="6" ht="17.25">
      <c r="A6" s="5"/>
      <c r="B6" s="5"/>
      <c r="C6" s="5"/>
      <c r="D6" s="7"/>
      <c r="E6" s="8"/>
      <c r="F6" s="8"/>
      <c r="G6" s="8"/>
      <c r="H6" s="8"/>
      <c r="I6" s="8"/>
      <c r="J6" s="9"/>
      <c r="K6" s="5"/>
    </row>
    <row r="7" ht="17.25">
      <c r="A7" s="10" t="s">
        <v>4</v>
      </c>
      <c r="B7" s="10" t="s">
        <v>5</v>
      </c>
      <c r="C7" s="11" t="s">
        <v>6</v>
      </c>
      <c r="D7" s="10" t="s">
        <v>7</v>
      </c>
      <c r="E7" s="11" t="s">
        <v>8</v>
      </c>
      <c r="F7" s="12" t="s">
        <v>9</v>
      </c>
      <c r="G7" s="12"/>
      <c r="H7" s="13"/>
      <c r="I7" s="13"/>
      <c r="J7" s="13"/>
      <c r="K7" s="3"/>
    </row>
    <row r="8" ht="192" customHeight="1">
      <c r="A8" s="10"/>
      <c r="B8" s="10"/>
      <c r="C8" s="11"/>
      <c r="D8" s="10"/>
      <c r="E8" s="11"/>
      <c r="F8" s="12" t="s">
        <v>10</v>
      </c>
      <c r="G8" s="12" t="s">
        <v>11</v>
      </c>
      <c r="H8" s="11" t="s">
        <v>12</v>
      </c>
      <c r="I8" s="11" t="s">
        <v>13</v>
      </c>
      <c r="J8" s="11" t="s">
        <v>14</v>
      </c>
      <c r="K8" s="3"/>
    </row>
    <row r="9" ht="17.25">
      <c r="A9" s="12">
        <v>1</v>
      </c>
      <c r="B9" s="12">
        <v>2</v>
      </c>
      <c r="C9" s="12">
        <v>3</v>
      </c>
      <c r="D9" s="12">
        <v>4</v>
      </c>
      <c r="E9" s="12"/>
      <c r="F9" s="12">
        <v>5</v>
      </c>
      <c r="G9" s="12">
        <v>6</v>
      </c>
      <c r="H9" s="12">
        <v>9</v>
      </c>
      <c r="I9" s="12">
        <v>10</v>
      </c>
      <c r="J9" s="12">
        <v>11</v>
      </c>
      <c r="K9" s="14"/>
    </row>
    <row r="10" ht="69">
      <c r="A10" s="15" t="s">
        <v>15</v>
      </c>
      <c r="B10" s="16" t="s">
        <v>16</v>
      </c>
      <c r="C10" s="17" t="s">
        <v>17</v>
      </c>
      <c r="D10" s="15"/>
      <c r="E10" s="18">
        <f>10358419.3+10196044.3</f>
        <v>20554463.600000001</v>
      </c>
      <c r="F10" s="15" t="s">
        <v>18</v>
      </c>
      <c r="G10" s="15" t="s">
        <v>18</v>
      </c>
      <c r="H10" s="19" t="s">
        <v>18</v>
      </c>
      <c r="I10" s="19" t="s">
        <v>18</v>
      </c>
      <c r="J10" s="19" t="s">
        <v>18</v>
      </c>
      <c r="K10" s="20">
        <f>E11*H11+E13*H13</f>
        <v>20554463.600000001</v>
      </c>
    </row>
    <row r="11" ht="69">
      <c r="A11" s="15"/>
      <c r="B11" s="15"/>
      <c r="C11" s="21" t="s">
        <v>19</v>
      </c>
      <c r="D11" s="22" t="s">
        <v>20</v>
      </c>
      <c r="E11" s="23">
        <v>511911.09000000003</v>
      </c>
      <c r="F11" s="24">
        <f>(10165169.3)/H11</f>
        <v>254129.23250000001</v>
      </c>
      <c r="G11" s="25">
        <f>(3092450.17)/H11</f>
        <v>77311.254249999998</v>
      </c>
      <c r="H11" s="19">
        <v>40</v>
      </c>
      <c r="I11" s="19">
        <v>40</v>
      </c>
      <c r="J11" s="19">
        <v>40</v>
      </c>
      <c r="K11" s="26">
        <f>(E10-E13*H13)/H11</f>
        <v>511911.09000000003</v>
      </c>
    </row>
    <row r="12" ht="17.25">
      <c r="A12" s="15"/>
      <c r="B12" s="15"/>
      <c r="C12" s="21" t="s">
        <v>21</v>
      </c>
      <c r="D12" s="27" t="s">
        <v>22</v>
      </c>
      <c r="E12" s="28">
        <v>0</v>
      </c>
      <c r="F12" s="29">
        <v>0</v>
      </c>
      <c r="G12" s="29">
        <v>0</v>
      </c>
      <c r="H12" s="19"/>
      <c r="I12" s="19"/>
      <c r="J12" s="19"/>
      <c r="K12" s="14"/>
    </row>
    <row r="13" ht="17.25">
      <c r="A13" s="15"/>
      <c r="B13" s="15"/>
      <c r="C13" s="21" t="s">
        <v>23</v>
      </c>
      <c r="D13" s="22" t="s">
        <v>24</v>
      </c>
      <c r="E13" s="28">
        <v>19505</v>
      </c>
      <c r="F13" s="24">
        <v>0</v>
      </c>
      <c r="G13" s="24">
        <v>0</v>
      </c>
      <c r="H13" s="19">
        <v>4</v>
      </c>
      <c r="I13" s="19">
        <v>4</v>
      </c>
      <c r="J13" s="19">
        <v>4</v>
      </c>
      <c r="K13" s="14"/>
    </row>
    <row r="14" ht="69">
      <c r="A14" s="15">
        <v>2</v>
      </c>
      <c r="B14" s="30" t="s">
        <v>16</v>
      </c>
      <c r="C14" s="17" t="s">
        <v>25</v>
      </c>
      <c r="D14" s="15"/>
      <c r="E14" s="18">
        <f>14828236.26+11164191.64</f>
        <v>25992427.899999999</v>
      </c>
      <c r="F14" s="19" t="s">
        <v>18</v>
      </c>
      <c r="G14" s="19" t="s">
        <v>18</v>
      </c>
      <c r="H14" s="19" t="s">
        <v>18</v>
      </c>
      <c r="I14" s="19" t="s">
        <v>18</v>
      </c>
      <c r="J14" s="19" t="s">
        <v>18</v>
      </c>
      <c r="K14" s="20">
        <f>E15*H15+E17*H17</f>
        <v>25992427.900040001</v>
      </c>
    </row>
    <row r="15" ht="69">
      <c r="A15" s="15"/>
      <c r="B15" s="15"/>
      <c r="C15" s="21" t="s">
        <v>19</v>
      </c>
      <c r="D15" s="22" t="s">
        <v>20</v>
      </c>
      <c r="E15" s="23">
        <v>562932.67174000002</v>
      </c>
      <c r="F15" s="24">
        <f>(14616046.26)/H15</f>
        <v>317740.13608695654</v>
      </c>
      <c r="G15" s="25">
        <f>(4668287.54)/H15</f>
        <v>101484.51173913044</v>
      </c>
      <c r="H15" s="19">
        <v>46</v>
      </c>
      <c r="I15" s="19">
        <v>46</v>
      </c>
      <c r="J15" s="19">
        <f>I15</f>
        <v>46</v>
      </c>
      <c r="K15" s="31">
        <f>(E14-E17*H17)/H15</f>
        <v>562932.6717391304</v>
      </c>
    </row>
    <row r="16" ht="17.25">
      <c r="A16" s="15"/>
      <c r="B16" s="15"/>
      <c r="C16" s="21" t="s">
        <v>23</v>
      </c>
      <c r="D16" s="27" t="s">
        <v>22</v>
      </c>
      <c r="E16" s="28">
        <v>0</v>
      </c>
      <c r="F16" s="29">
        <v>0</v>
      </c>
      <c r="G16" s="29">
        <v>0</v>
      </c>
      <c r="H16" s="32"/>
      <c r="I16" s="32"/>
      <c r="J16" s="32"/>
      <c r="K16" s="14"/>
    </row>
    <row r="17" ht="17.25">
      <c r="A17" s="15"/>
      <c r="B17" s="15"/>
      <c r="C17" s="21" t="s">
        <v>21</v>
      </c>
      <c r="D17" s="22" t="s">
        <v>24</v>
      </c>
      <c r="E17" s="28">
        <v>19505</v>
      </c>
      <c r="F17" s="24">
        <v>0</v>
      </c>
      <c r="G17" s="24">
        <v>0</v>
      </c>
      <c r="H17" s="19">
        <v>5</v>
      </c>
      <c r="I17" s="19">
        <v>5</v>
      </c>
      <c r="J17" s="19">
        <v>5</v>
      </c>
      <c r="K17" s="14"/>
    </row>
    <row r="18" ht="69">
      <c r="A18" s="15">
        <v>3</v>
      </c>
      <c r="B18" s="30" t="s">
        <v>16</v>
      </c>
      <c r="C18" s="17" t="s">
        <v>26</v>
      </c>
      <c r="D18" s="15"/>
      <c r="E18" s="18">
        <f>23504113.69+37636228.16</f>
        <v>61140341.849999994</v>
      </c>
      <c r="F18" s="19" t="s">
        <v>18</v>
      </c>
      <c r="G18" s="19" t="s">
        <v>18</v>
      </c>
      <c r="H18" s="19" t="s">
        <v>18</v>
      </c>
      <c r="I18" s="19" t="s">
        <v>18</v>
      </c>
      <c r="J18" s="19" t="s">
        <v>18</v>
      </c>
      <c r="K18" s="20">
        <f>E19*H19+E21*H21</f>
        <v>61140341.849469997</v>
      </c>
    </row>
    <row r="19" ht="69">
      <c r="A19" s="15"/>
      <c r="B19" s="30"/>
      <c r="C19" s="21" t="s">
        <v>19</v>
      </c>
      <c r="D19" s="22" t="s">
        <v>20</v>
      </c>
      <c r="E19" s="23">
        <v>321739.45422999997</v>
      </c>
      <c r="F19" s="24">
        <f>(36919468.16)/H19</f>
        <v>195341.10137566135</v>
      </c>
      <c r="G19" s="33">
        <f>(7997848.42)/H19</f>
        <v>42316.658306878307</v>
      </c>
      <c r="H19" s="19">
        <v>189</v>
      </c>
      <c r="I19" s="19">
        <v>189</v>
      </c>
      <c r="J19" s="19">
        <f>I19</f>
        <v>189</v>
      </c>
      <c r="K19" s="31">
        <f>(E18-E21*H21)/H19</f>
        <v>321739.45423280419</v>
      </c>
    </row>
    <row r="20" ht="17.25">
      <c r="A20" s="15"/>
      <c r="B20" s="30"/>
      <c r="C20" s="21" t="s">
        <v>23</v>
      </c>
      <c r="D20" s="27" t="s">
        <v>22</v>
      </c>
      <c r="E20" s="34">
        <v>0</v>
      </c>
      <c r="F20" s="29">
        <v>0</v>
      </c>
      <c r="G20" s="29">
        <v>0</v>
      </c>
      <c r="H20" s="32"/>
      <c r="I20" s="32"/>
      <c r="J20" s="32"/>
      <c r="K20" s="14"/>
    </row>
    <row r="21" ht="17.25">
      <c r="A21" s="15"/>
      <c r="B21" s="30"/>
      <c r="C21" s="21" t="s">
        <v>21</v>
      </c>
      <c r="D21" s="22" t="s">
        <v>24</v>
      </c>
      <c r="E21" s="28">
        <v>19505</v>
      </c>
      <c r="F21" s="24">
        <v>0</v>
      </c>
      <c r="G21" s="24">
        <v>0</v>
      </c>
      <c r="H21" s="19">
        <v>17</v>
      </c>
      <c r="I21" s="19">
        <v>17</v>
      </c>
      <c r="J21" s="19">
        <v>17</v>
      </c>
      <c r="K21" s="14"/>
    </row>
    <row r="22" ht="69">
      <c r="A22" s="15">
        <v>4</v>
      </c>
      <c r="B22" s="30" t="s">
        <v>16</v>
      </c>
      <c r="C22" s="17" t="s">
        <v>27</v>
      </c>
      <c r="D22" s="15"/>
      <c r="E22" s="18">
        <f>46851156.54+30066078.87</f>
        <v>76917235.409999996</v>
      </c>
      <c r="F22" s="19" t="s">
        <v>18</v>
      </c>
      <c r="G22" s="19" t="s">
        <v>18</v>
      </c>
      <c r="H22" s="19" t="s">
        <v>18</v>
      </c>
      <c r="I22" s="19" t="s">
        <v>18</v>
      </c>
      <c r="J22" s="19" t="s">
        <v>18</v>
      </c>
      <c r="K22" s="20">
        <f>E23*H23+E25*H25</f>
        <v>76917235.409279987</v>
      </c>
    </row>
    <row r="23" ht="69">
      <c r="A23" s="15"/>
      <c r="B23" s="30"/>
      <c r="C23" s="21" t="s">
        <v>19</v>
      </c>
      <c r="D23" s="22" t="s">
        <v>20</v>
      </c>
      <c r="E23" s="23">
        <v>307947.96535999997</v>
      </c>
      <c r="F23" s="24">
        <f>(45862896.54)/H23</f>
        <v>184931.03443548386</v>
      </c>
      <c r="G23" s="25">
        <f>(10850671.03)/H23</f>
        <v>43752.705766129031</v>
      </c>
      <c r="H23" s="19">
        <v>248</v>
      </c>
      <c r="I23" s="19">
        <v>248</v>
      </c>
      <c r="J23" s="19">
        <f>I23</f>
        <v>248</v>
      </c>
      <c r="K23" s="31">
        <f>(E22-E25*H25)/H23</f>
        <v>307947.9653629032</v>
      </c>
    </row>
    <row r="24" ht="17.25">
      <c r="A24" s="15"/>
      <c r="B24" s="30"/>
      <c r="C24" s="21" t="s">
        <v>23</v>
      </c>
      <c r="D24" s="27" t="s">
        <v>22</v>
      </c>
      <c r="E24" s="28">
        <v>0</v>
      </c>
      <c r="F24" s="24">
        <v>0</v>
      </c>
      <c r="G24" s="24">
        <v>0</v>
      </c>
      <c r="H24" s="32"/>
      <c r="I24" s="32"/>
      <c r="J24" s="32"/>
      <c r="K24" s="14"/>
    </row>
    <row r="25" ht="17.25">
      <c r="A25" s="15"/>
      <c r="B25" s="30"/>
      <c r="C25" s="21" t="s">
        <v>21</v>
      </c>
      <c r="D25" s="22" t="s">
        <v>24</v>
      </c>
      <c r="E25" s="28">
        <v>19505</v>
      </c>
      <c r="F25" s="24">
        <v>0</v>
      </c>
      <c r="G25" s="24">
        <v>0</v>
      </c>
      <c r="H25" s="19">
        <v>28</v>
      </c>
      <c r="I25" s="19">
        <v>28</v>
      </c>
      <c r="J25" s="19">
        <v>28</v>
      </c>
      <c r="K25" s="14"/>
    </row>
    <row r="26" ht="69">
      <c r="A26" s="15">
        <v>5</v>
      </c>
      <c r="B26" s="30" t="s">
        <v>16</v>
      </c>
      <c r="C26" s="17" t="s">
        <v>28</v>
      </c>
      <c r="D26" s="15"/>
      <c r="E26" s="18">
        <f>23721459.74+20544282.9</f>
        <v>44265742.640000001</v>
      </c>
      <c r="F26" s="19" t="s">
        <v>18</v>
      </c>
      <c r="G26" s="19" t="s">
        <v>18</v>
      </c>
      <c r="H26" s="19" t="s">
        <v>18</v>
      </c>
      <c r="I26" s="19" t="s">
        <v>18</v>
      </c>
      <c r="J26" s="19" t="s">
        <v>18</v>
      </c>
      <c r="K26" s="20">
        <f>E27*H27+E29*H29</f>
        <v>44265742.640239999</v>
      </c>
    </row>
    <row r="27" ht="69">
      <c r="A27" s="15"/>
      <c r="B27" s="30"/>
      <c r="C27" s="21" t="s">
        <v>19</v>
      </c>
      <c r="D27" s="22" t="s">
        <v>20</v>
      </c>
      <c r="E27" s="23">
        <v>246273.21708</v>
      </c>
      <c r="F27" s="24">
        <f>(29493639.74)/H27</f>
        <v>165694.60528089886</v>
      </c>
      <c r="G27" s="33">
        <f>(7447013.76)/H27</f>
        <v>41837.15595505618</v>
      </c>
      <c r="H27" s="19">
        <v>178</v>
      </c>
      <c r="I27" s="19">
        <f>H27</f>
        <v>178</v>
      </c>
      <c r="J27" s="19">
        <f>I27</f>
        <v>178</v>
      </c>
      <c r="K27" s="31">
        <f>(E26-E29*H29)/H27</f>
        <v>246273.21707865168</v>
      </c>
    </row>
    <row r="28" ht="17.25">
      <c r="A28" s="15"/>
      <c r="B28" s="30"/>
      <c r="C28" s="21" t="s">
        <v>23</v>
      </c>
      <c r="D28" s="27" t="s">
        <v>22</v>
      </c>
      <c r="E28" s="28">
        <v>0</v>
      </c>
      <c r="F28" s="24">
        <v>0</v>
      </c>
      <c r="G28" s="24">
        <v>0</v>
      </c>
      <c r="H28" s="32"/>
      <c r="I28" s="32"/>
      <c r="J28" s="32"/>
      <c r="K28" s="14"/>
    </row>
    <row r="29" ht="17.25">
      <c r="A29" s="15"/>
      <c r="B29" s="30"/>
      <c r="C29" s="21" t="s">
        <v>21</v>
      </c>
      <c r="D29" s="22" t="s">
        <v>24</v>
      </c>
      <c r="E29" s="28">
        <v>19505</v>
      </c>
      <c r="F29" s="24">
        <v>0</v>
      </c>
      <c r="G29" s="24">
        <v>0</v>
      </c>
      <c r="H29" s="19">
        <v>22</v>
      </c>
      <c r="I29" s="19">
        <v>22</v>
      </c>
      <c r="J29" s="19">
        <v>22</v>
      </c>
      <c r="K29" s="14"/>
    </row>
    <row r="30" ht="17.25">
      <c r="A30" s="35"/>
      <c r="B30" s="30" t="s">
        <v>16</v>
      </c>
      <c r="C30" s="36" t="s">
        <v>29</v>
      </c>
      <c r="D30" s="36"/>
      <c r="E30" s="37">
        <f>E10+E14+E18+E22+E26</f>
        <v>228870211.39999998</v>
      </c>
      <c r="F30" s="38"/>
      <c r="G30" s="38"/>
      <c r="H30" s="19">
        <f>H11+H13+H15+H17+H19+H21+H23+H25+H27+H29</f>
        <v>777</v>
      </c>
      <c r="I30" s="39"/>
      <c r="J30" s="39"/>
      <c r="K30" s="40"/>
    </row>
    <row r="31" ht="51.75">
      <c r="A31" s="15">
        <v>7</v>
      </c>
      <c r="B31" s="30" t="s">
        <v>30</v>
      </c>
      <c r="C31" s="41" t="s">
        <v>31</v>
      </c>
      <c r="D31" s="15"/>
      <c r="E31" s="18">
        <f>54880691.26+28249468.77</f>
        <v>83130160.030000001</v>
      </c>
      <c r="F31" s="15" t="s">
        <v>18</v>
      </c>
      <c r="G31" s="15" t="s">
        <v>18</v>
      </c>
      <c r="H31" s="19" t="s">
        <v>18</v>
      </c>
      <c r="I31" s="19" t="s">
        <v>18</v>
      </c>
      <c r="J31" s="19" t="s">
        <v>18</v>
      </c>
      <c r="K31" s="20">
        <f>(E32*H32)+(E33*H33)+E34*H34</f>
        <v>83130160.030000001</v>
      </c>
    </row>
    <row r="32" ht="69">
      <c r="A32" s="15"/>
      <c r="B32" s="30"/>
      <c r="C32" s="21" t="s">
        <v>32</v>
      </c>
      <c r="D32" s="27" t="s">
        <v>33</v>
      </c>
      <c r="E32" s="23">
        <f>K32</f>
        <v>89291.256745435021</v>
      </c>
      <c r="F32" s="33">
        <f t="shared" ref="F32:F34" si="0">(74472099.7)/931</f>
        <v>79991.51417830291</v>
      </c>
      <c r="G32" s="25">
        <f t="shared" ref="G32:G34" si="1">(18256700)/931</f>
        <v>19609.774436090225</v>
      </c>
      <c r="H32" s="19">
        <v>343</v>
      </c>
      <c r="I32" s="19">
        <v>343</v>
      </c>
      <c r="J32" s="19">
        <v>343</v>
      </c>
      <c r="K32" s="31">
        <f>E31/(H32+H33+H34)</f>
        <v>89291.256745435021</v>
      </c>
    </row>
    <row r="33" ht="69">
      <c r="A33" s="15"/>
      <c r="B33" s="30"/>
      <c r="C33" s="21" t="s">
        <v>34</v>
      </c>
      <c r="D33" s="27" t="s">
        <v>35</v>
      </c>
      <c r="E33" s="23">
        <f>K32</f>
        <v>89291.256745435021</v>
      </c>
      <c r="F33" s="33">
        <f t="shared" si="0"/>
        <v>79991.51417830291</v>
      </c>
      <c r="G33" s="25">
        <f t="shared" si="1"/>
        <v>19609.774436090225</v>
      </c>
      <c r="H33" s="19">
        <v>480</v>
      </c>
      <c r="I33" s="19">
        <f t="shared" ref="I33:I72" si="2">H33</f>
        <v>480</v>
      </c>
      <c r="J33" s="19">
        <f t="shared" ref="J33:J72" si="3">I33</f>
        <v>480</v>
      </c>
      <c r="K33" s="14"/>
    </row>
    <row r="34" ht="69">
      <c r="A34" s="15"/>
      <c r="B34" s="30"/>
      <c r="C34" s="21" t="s">
        <v>36</v>
      </c>
      <c r="D34" s="27" t="s">
        <v>37</v>
      </c>
      <c r="E34" s="23">
        <f>K32</f>
        <v>89291.256745435021</v>
      </c>
      <c r="F34" s="33">
        <f t="shared" si="0"/>
        <v>79991.51417830291</v>
      </c>
      <c r="G34" s="25">
        <f t="shared" si="1"/>
        <v>19609.774436090225</v>
      </c>
      <c r="H34" s="19">
        <v>108</v>
      </c>
      <c r="I34" s="19">
        <f t="shared" si="2"/>
        <v>108</v>
      </c>
      <c r="J34" s="19">
        <f t="shared" si="3"/>
        <v>108</v>
      </c>
      <c r="K34" s="14"/>
    </row>
    <row r="35" ht="120.75">
      <c r="A35" s="15">
        <v>8</v>
      </c>
      <c r="B35" s="30" t="s">
        <v>30</v>
      </c>
      <c r="C35" s="41" t="s">
        <v>38</v>
      </c>
      <c r="D35" s="15"/>
      <c r="E35" s="18">
        <f>59337794.86+24356254.18</f>
        <v>83694049.039999992</v>
      </c>
      <c r="F35" s="19" t="s">
        <v>18</v>
      </c>
      <c r="G35" s="19" t="s">
        <v>18</v>
      </c>
      <c r="H35" s="19" t="s">
        <v>18</v>
      </c>
      <c r="I35" s="19" t="s">
        <v>18</v>
      </c>
      <c r="J35" s="19" t="s">
        <v>18</v>
      </c>
      <c r="K35" s="20">
        <f>(E36*H36)+(E37*H37)+(E39*H39)</f>
        <v>83694049.039999992</v>
      </c>
    </row>
    <row r="36" ht="69">
      <c r="A36" s="15"/>
      <c r="B36" s="30"/>
      <c r="C36" s="21" t="s">
        <v>32</v>
      </c>
      <c r="D36" s="27" t="s">
        <v>33</v>
      </c>
      <c r="E36" s="23">
        <f>K36</f>
        <v>89993.601118279563</v>
      </c>
      <c r="F36" s="33">
        <f t="shared" ref="F36:F39" si="4">(73189657.66)/930</f>
        <v>78698.55662365591</v>
      </c>
      <c r="G36" s="33">
        <f t="shared" ref="G36:G39" si="5">(16688017.01)/930</f>
        <v>17944.104311827956</v>
      </c>
      <c r="H36" s="19">
        <v>337</v>
      </c>
      <c r="I36" s="19">
        <f t="shared" si="2"/>
        <v>337</v>
      </c>
      <c r="J36" s="19">
        <f t="shared" si="3"/>
        <v>337</v>
      </c>
      <c r="K36" s="31">
        <f>E35/(H36+H37+H38+H39)</f>
        <v>89993.601118279563</v>
      </c>
    </row>
    <row r="37" ht="69">
      <c r="A37" s="15"/>
      <c r="B37" s="30"/>
      <c r="C37" s="21" t="s">
        <v>34</v>
      </c>
      <c r="D37" s="27" t="s">
        <v>35</v>
      </c>
      <c r="E37" s="23">
        <f>K36</f>
        <v>89993.601118279563</v>
      </c>
      <c r="F37" s="33">
        <f t="shared" si="4"/>
        <v>78698.55662365591</v>
      </c>
      <c r="G37" s="33">
        <f t="shared" si="5"/>
        <v>17944.104311827956</v>
      </c>
      <c r="H37" s="19">
        <v>506</v>
      </c>
      <c r="I37" s="19">
        <f t="shared" si="2"/>
        <v>506</v>
      </c>
      <c r="J37" s="19">
        <f t="shared" si="3"/>
        <v>506</v>
      </c>
      <c r="K37" s="14"/>
    </row>
    <row r="38" ht="86.25">
      <c r="A38" s="15"/>
      <c r="B38" s="30"/>
      <c r="C38" s="21" t="s">
        <v>39</v>
      </c>
      <c r="D38" s="27" t="s">
        <v>40</v>
      </c>
      <c r="E38" s="23">
        <f>K36</f>
        <v>89993.601118279563</v>
      </c>
      <c r="F38" s="33">
        <f t="shared" si="4"/>
        <v>78698.55662365591</v>
      </c>
      <c r="G38" s="33">
        <f t="shared" si="5"/>
        <v>17944.104311827956</v>
      </c>
      <c r="H38" s="19">
        <v>0</v>
      </c>
      <c r="I38" s="19">
        <v>0</v>
      </c>
      <c r="J38" s="19">
        <v>0</v>
      </c>
      <c r="K38" s="14"/>
    </row>
    <row r="39" ht="69">
      <c r="A39" s="15"/>
      <c r="B39" s="30"/>
      <c r="C39" s="21" t="s">
        <v>36</v>
      </c>
      <c r="D39" s="27" t="s">
        <v>37</v>
      </c>
      <c r="E39" s="23">
        <f>K36</f>
        <v>89993.601118279563</v>
      </c>
      <c r="F39" s="33">
        <f t="shared" si="4"/>
        <v>78698.55662365591</v>
      </c>
      <c r="G39" s="33">
        <f t="shared" si="5"/>
        <v>17944.104311827956</v>
      </c>
      <c r="H39" s="19">
        <v>87</v>
      </c>
      <c r="I39" s="19">
        <f t="shared" si="2"/>
        <v>87</v>
      </c>
      <c r="J39" s="19">
        <f t="shared" si="3"/>
        <v>87</v>
      </c>
      <c r="K39" s="14"/>
    </row>
    <row r="40" ht="86.25">
      <c r="A40" s="15">
        <v>9</v>
      </c>
      <c r="B40" s="30" t="s">
        <v>30</v>
      </c>
      <c r="C40" s="41" t="s">
        <v>41</v>
      </c>
      <c r="D40" s="15"/>
      <c r="E40" s="18">
        <f>60110895.93+41359084.52</f>
        <v>101469980.45</v>
      </c>
      <c r="F40" s="19" t="s">
        <v>18</v>
      </c>
      <c r="G40" s="19" t="s">
        <v>18</v>
      </c>
      <c r="H40" s="19" t="s">
        <v>18</v>
      </c>
      <c r="I40" s="19" t="s">
        <v>18</v>
      </c>
      <c r="J40" s="19" t="s">
        <v>18</v>
      </c>
      <c r="K40" s="42">
        <f>E41*H41+E42*H42+E43*H43+E44*H44</f>
        <v>73956805.159999982</v>
      </c>
    </row>
    <row r="41" ht="69">
      <c r="A41" s="15"/>
      <c r="B41" s="30"/>
      <c r="C41" s="21" t="s">
        <v>32</v>
      </c>
      <c r="D41" s="27" t="s">
        <v>33</v>
      </c>
      <c r="E41" s="23">
        <f>K42</f>
        <v>136451.67003690035</v>
      </c>
      <c r="F41" s="25">
        <f t="shared" ref="F41:F44" si="6">(67543565.16)/542</f>
        <v>124619.12391143911</v>
      </c>
      <c r="G41" s="33">
        <f t="shared" ref="G41:G44" si="7">(8460575.12)/542</f>
        <v>15609.917195571954</v>
      </c>
      <c r="H41" s="19">
        <v>227</v>
      </c>
      <c r="I41" s="19">
        <f t="shared" si="2"/>
        <v>227</v>
      </c>
      <c r="J41" s="19">
        <f t="shared" si="3"/>
        <v>227</v>
      </c>
      <c r="K41" s="26"/>
    </row>
    <row r="42" ht="69">
      <c r="A42" s="15"/>
      <c r="B42" s="30"/>
      <c r="C42" s="21" t="s">
        <v>34</v>
      </c>
      <c r="D42" s="27" t="s">
        <v>35</v>
      </c>
      <c r="E42" s="23">
        <f>K42</f>
        <v>136451.67003690035</v>
      </c>
      <c r="F42" s="25">
        <f t="shared" si="6"/>
        <v>124619.12391143911</v>
      </c>
      <c r="G42" s="33">
        <f t="shared" si="7"/>
        <v>15609.917195571954</v>
      </c>
      <c r="H42" s="19">
        <v>301</v>
      </c>
      <c r="I42" s="19">
        <f t="shared" si="2"/>
        <v>301</v>
      </c>
      <c r="J42" s="19">
        <f t="shared" si="3"/>
        <v>301</v>
      </c>
      <c r="K42" s="26">
        <f>(E40-27045055.29-468120)/(H41+H42+H43+H44)</f>
        <v>136451.67003690035</v>
      </c>
    </row>
    <row r="43" ht="86.25">
      <c r="A43" s="15"/>
      <c r="B43" s="30"/>
      <c r="C43" s="21" t="s">
        <v>39</v>
      </c>
      <c r="D43" s="27" t="s">
        <v>40</v>
      </c>
      <c r="E43" s="23">
        <f>K42</f>
        <v>136451.67003690035</v>
      </c>
      <c r="F43" s="25">
        <f t="shared" si="6"/>
        <v>124619.12391143911</v>
      </c>
      <c r="G43" s="33">
        <f t="shared" si="7"/>
        <v>15609.917195571954</v>
      </c>
      <c r="H43" s="19">
        <v>0</v>
      </c>
      <c r="I43" s="19">
        <v>0</v>
      </c>
      <c r="J43" s="19">
        <v>0</v>
      </c>
      <c r="K43" s="14"/>
    </row>
    <row r="44" ht="69">
      <c r="A44" s="15"/>
      <c r="B44" s="30"/>
      <c r="C44" s="21" t="s">
        <v>36</v>
      </c>
      <c r="D44" s="27" t="s">
        <v>37</v>
      </c>
      <c r="E44" s="23">
        <f>K42</f>
        <v>136451.67003690035</v>
      </c>
      <c r="F44" s="25">
        <f t="shared" si="6"/>
        <v>124619.12391143911</v>
      </c>
      <c r="G44" s="33">
        <f t="shared" si="7"/>
        <v>15609.917195571954</v>
      </c>
      <c r="H44" s="19">
        <v>14</v>
      </c>
      <c r="I44" s="19">
        <f t="shared" si="2"/>
        <v>14</v>
      </c>
      <c r="J44" s="19">
        <f t="shared" si="3"/>
        <v>14</v>
      </c>
      <c r="K44" s="14"/>
    </row>
    <row r="45" ht="69">
      <c r="A45" s="15"/>
      <c r="B45" s="30"/>
      <c r="C45" s="21" t="s">
        <v>19</v>
      </c>
      <c r="D45" s="27" t="s">
        <v>20</v>
      </c>
      <c r="E45" s="23">
        <v>227269.37218000001</v>
      </c>
      <c r="F45" s="25">
        <f>(17016236.78)/H45</f>
        <v>142993.58638655464</v>
      </c>
      <c r="G45" s="33">
        <f>(1353636.22)/H45</f>
        <v>11375.094285714285</v>
      </c>
      <c r="H45" s="19">
        <v>119</v>
      </c>
      <c r="I45" s="19">
        <v>119</v>
      </c>
      <c r="J45" s="19">
        <v>119</v>
      </c>
      <c r="K45" s="14"/>
    </row>
    <row r="46" ht="17.25">
      <c r="A46" s="15"/>
      <c r="B46" s="30"/>
      <c r="C46" s="21" t="s">
        <v>23</v>
      </c>
      <c r="D46" s="27" t="s">
        <v>22</v>
      </c>
      <c r="E46" s="23">
        <v>0</v>
      </c>
      <c r="F46" s="25">
        <v>0</v>
      </c>
      <c r="G46" s="33">
        <v>0</v>
      </c>
      <c r="H46" s="19">
        <v>0</v>
      </c>
      <c r="I46" s="19">
        <v>0</v>
      </c>
      <c r="J46" s="19">
        <v>0</v>
      </c>
      <c r="K46" s="14"/>
    </row>
    <row r="47" ht="17.25">
      <c r="A47" s="15"/>
      <c r="B47" s="30"/>
      <c r="C47" s="21" t="s">
        <v>23</v>
      </c>
      <c r="D47" s="27" t="s">
        <v>42</v>
      </c>
      <c r="E47" s="23">
        <v>19505</v>
      </c>
      <c r="F47" s="25">
        <v>0</v>
      </c>
      <c r="G47" s="33">
        <v>0</v>
      </c>
      <c r="H47" s="19">
        <v>24</v>
      </c>
      <c r="I47" s="19">
        <v>24</v>
      </c>
      <c r="J47" s="19">
        <v>24</v>
      </c>
      <c r="K47" s="14"/>
    </row>
    <row r="48" ht="51.75">
      <c r="A48" s="15">
        <v>10</v>
      </c>
      <c r="B48" s="30" t="s">
        <v>30</v>
      </c>
      <c r="C48" s="41" t="s">
        <v>43</v>
      </c>
      <c r="D48" s="15"/>
      <c r="E48" s="18">
        <f>34844845.29+16859431.34</f>
        <v>51704276.629999995</v>
      </c>
      <c r="F48" s="19" t="s">
        <v>18</v>
      </c>
      <c r="G48" s="19" t="s">
        <v>18</v>
      </c>
      <c r="H48" s="19" t="s">
        <v>18</v>
      </c>
      <c r="I48" s="19" t="s">
        <v>18</v>
      </c>
      <c r="J48" s="19" t="s">
        <v>18</v>
      </c>
      <c r="K48" s="42">
        <f>E49*H49+E50*H50+E52*H52</f>
        <v>51704276.629999995</v>
      </c>
    </row>
    <row r="49" ht="69">
      <c r="A49" s="15"/>
      <c r="B49" s="30"/>
      <c r="C49" s="21" t="s">
        <v>32</v>
      </c>
      <c r="D49" s="27" t="s">
        <v>33</v>
      </c>
      <c r="E49" s="23">
        <f>K49</f>
        <v>239371.6510648148</v>
      </c>
      <c r="F49" s="33">
        <f t="shared" ref="F49:F52" si="8">(35009302.69)/216</f>
        <v>162080.10504629629</v>
      </c>
      <c r="G49" s="25">
        <f t="shared" ref="G49:G52" si="9">(7996084.11)/216</f>
        <v>37018.907916666671</v>
      </c>
      <c r="H49" s="19">
        <v>76</v>
      </c>
      <c r="I49" s="19">
        <f t="shared" si="2"/>
        <v>76</v>
      </c>
      <c r="J49" s="19">
        <f t="shared" si="3"/>
        <v>76</v>
      </c>
      <c r="K49" s="26">
        <f>E48/(H49+H50+H52)</f>
        <v>239371.6510648148</v>
      </c>
    </row>
    <row r="50" ht="69">
      <c r="A50" s="15"/>
      <c r="B50" s="30"/>
      <c r="C50" s="21" t="s">
        <v>34</v>
      </c>
      <c r="D50" s="27" t="s">
        <v>35</v>
      </c>
      <c r="E50" s="23">
        <f>K49</f>
        <v>239371.6510648148</v>
      </c>
      <c r="F50" s="33">
        <f t="shared" si="8"/>
        <v>162080.10504629629</v>
      </c>
      <c r="G50" s="25">
        <f t="shared" si="9"/>
        <v>37018.907916666671</v>
      </c>
      <c r="H50" s="19">
        <v>115</v>
      </c>
      <c r="I50" s="19">
        <f t="shared" si="2"/>
        <v>115</v>
      </c>
      <c r="J50" s="19">
        <f t="shared" si="3"/>
        <v>115</v>
      </c>
      <c r="K50" s="14"/>
    </row>
    <row r="51" ht="86.25">
      <c r="A51" s="15"/>
      <c r="B51" s="30"/>
      <c r="C51" s="21" t="s">
        <v>39</v>
      </c>
      <c r="D51" s="27" t="s">
        <v>44</v>
      </c>
      <c r="E51" s="23">
        <f>E50</f>
        <v>239371.6510648148</v>
      </c>
      <c r="F51" s="33">
        <f t="shared" si="8"/>
        <v>162080.10504629629</v>
      </c>
      <c r="G51" s="25">
        <f t="shared" si="9"/>
        <v>37018.907916666671</v>
      </c>
      <c r="H51" s="19">
        <v>0</v>
      </c>
      <c r="I51" s="19">
        <v>0</v>
      </c>
      <c r="J51" s="19">
        <v>0</v>
      </c>
      <c r="K51" s="14"/>
    </row>
    <row r="52" ht="69">
      <c r="A52" s="15"/>
      <c r="B52" s="30"/>
      <c r="C52" s="21" t="s">
        <v>45</v>
      </c>
      <c r="D52" s="27" t="s">
        <v>37</v>
      </c>
      <c r="E52" s="23">
        <f>K49</f>
        <v>239371.6510648148</v>
      </c>
      <c r="F52" s="33">
        <f t="shared" si="8"/>
        <v>162080.10504629629</v>
      </c>
      <c r="G52" s="25">
        <f t="shared" si="9"/>
        <v>37018.907916666671</v>
      </c>
      <c r="H52" s="19">
        <v>25</v>
      </c>
      <c r="I52" s="19">
        <f t="shared" si="2"/>
        <v>25</v>
      </c>
      <c r="J52" s="19">
        <f t="shared" si="3"/>
        <v>25</v>
      </c>
      <c r="K52" s="14"/>
    </row>
    <row r="53" ht="86.25">
      <c r="A53" s="15"/>
      <c r="B53" s="30"/>
      <c r="C53" s="21" t="s">
        <v>46</v>
      </c>
      <c r="D53" s="27" t="s">
        <v>47</v>
      </c>
      <c r="E53" s="43"/>
      <c r="F53" s="24">
        <v>0</v>
      </c>
      <c r="G53" s="33"/>
      <c r="H53" s="32">
        <v>0</v>
      </c>
      <c r="I53" s="32">
        <v>0</v>
      </c>
      <c r="J53" s="32">
        <v>0</v>
      </c>
      <c r="K53" s="14"/>
    </row>
    <row r="54" ht="51.75">
      <c r="A54" s="15">
        <v>11</v>
      </c>
      <c r="B54" s="30" t="s">
        <v>30</v>
      </c>
      <c r="C54" s="41" t="s">
        <v>48</v>
      </c>
      <c r="D54" s="15"/>
      <c r="E54" s="18">
        <f>36783615.63+15199732.05+1100000</f>
        <v>53083347.680000007</v>
      </c>
      <c r="F54" s="19" t="s">
        <v>18</v>
      </c>
      <c r="G54" s="19" t="s">
        <v>18</v>
      </c>
      <c r="H54" s="19" t="s">
        <v>18</v>
      </c>
      <c r="I54" s="19" t="s">
        <v>18</v>
      </c>
      <c r="J54" s="19" t="s">
        <v>18</v>
      </c>
      <c r="K54" s="42">
        <f>E55*H55+E56*H56+E57*H57+E58*H58</f>
        <v>53083347.68</v>
      </c>
    </row>
    <row r="55" ht="69">
      <c r="A55" s="15"/>
      <c r="B55" s="30"/>
      <c r="C55" s="21" t="s">
        <v>32</v>
      </c>
      <c r="D55" s="27" t="s">
        <v>33</v>
      </c>
      <c r="E55" s="23">
        <f>K55</f>
        <v>114157.73694623658</v>
      </c>
      <c r="F55" s="33">
        <f t="shared" ref="F55:F58" si="10">(39761971.93)/465</f>
        <v>85509.617053763446</v>
      </c>
      <c r="G55" s="25">
        <f t="shared" ref="G55:G58" si="11">(23628129.2)/465</f>
        <v>50813.181075268818</v>
      </c>
      <c r="H55" s="19">
        <v>175</v>
      </c>
      <c r="I55" s="19">
        <f t="shared" si="2"/>
        <v>175</v>
      </c>
      <c r="J55" s="19">
        <f t="shared" si="3"/>
        <v>175</v>
      </c>
      <c r="K55" s="26">
        <f>E54/(H55+H56+H57+H58)</f>
        <v>114157.73694623658</v>
      </c>
    </row>
    <row r="56" ht="69">
      <c r="A56" s="15"/>
      <c r="B56" s="30"/>
      <c r="C56" s="21" t="s">
        <v>34</v>
      </c>
      <c r="D56" s="27" t="s">
        <v>35</v>
      </c>
      <c r="E56" s="23">
        <f>K55</f>
        <v>114157.73694623658</v>
      </c>
      <c r="F56" s="33">
        <f t="shared" si="10"/>
        <v>85509.617053763446</v>
      </c>
      <c r="G56" s="25">
        <f t="shared" si="11"/>
        <v>50813.181075268818</v>
      </c>
      <c r="H56" s="19">
        <v>276</v>
      </c>
      <c r="I56" s="19">
        <f t="shared" si="2"/>
        <v>276</v>
      </c>
      <c r="J56" s="19">
        <f t="shared" si="3"/>
        <v>276</v>
      </c>
      <c r="K56" s="14"/>
    </row>
    <row r="57" ht="86.25">
      <c r="A57" s="15"/>
      <c r="B57" s="30"/>
      <c r="C57" s="21" t="s">
        <v>39</v>
      </c>
      <c r="D57" s="27" t="s">
        <v>40</v>
      </c>
      <c r="E57" s="23">
        <f>K55</f>
        <v>114157.73694623658</v>
      </c>
      <c r="F57" s="33">
        <f t="shared" si="10"/>
        <v>85509.617053763446</v>
      </c>
      <c r="G57" s="25">
        <f t="shared" si="11"/>
        <v>50813.181075268818</v>
      </c>
      <c r="H57" s="19">
        <v>0</v>
      </c>
      <c r="I57" s="19">
        <v>0</v>
      </c>
      <c r="J57" s="19">
        <v>0</v>
      </c>
      <c r="K57" s="14"/>
    </row>
    <row r="58" ht="69">
      <c r="A58" s="15"/>
      <c r="B58" s="30"/>
      <c r="C58" s="21" t="s">
        <v>45</v>
      </c>
      <c r="D58" s="27" t="s">
        <v>37</v>
      </c>
      <c r="E58" s="23">
        <f>K55</f>
        <v>114157.73694623658</v>
      </c>
      <c r="F58" s="33">
        <f t="shared" si="10"/>
        <v>85509.617053763446</v>
      </c>
      <c r="G58" s="25">
        <f t="shared" si="11"/>
        <v>50813.181075268818</v>
      </c>
      <c r="H58" s="19">
        <v>14</v>
      </c>
      <c r="I58" s="19">
        <f t="shared" si="2"/>
        <v>14</v>
      </c>
      <c r="J58" s="19">
        <f t="shared" si="3"/>
        <v>14</v>
      </c>
      <c r="K58" s="14"/>
    </row>
    <row r="59" ht="86.25">
      <c r="A59" s="15"/>
      <c r="B59" s="30"/>
      <c r="C59" s="21" t="s">
        <v>46</v>
      </c>
      <c r="D59" s="27" t="s">
        <v>47</v>
      </c>
      <c r="E59" s="23">
        <v>0</v>
      </c>
      <c r="F59" s="24">
        <v>0</v>
      </c>
      <c r="G59" s="33">
        <v>0</v>
      </c>
      <c r="H59" s="32">
        <v>0</v>
      </c>
      <c r="I59" s="32">
        <v>0</v>
      </c>
      <c r="J59" s="32">
        <v>0</v>
      </c>
      <c r="K59" s="14"/>
    </row>
    <row r="60" ht="51.75">
      <c r="A60" s="15">
        <v>12</v>
      </c>
      <c r="B60" s="30" t="s">
        <v>30</v>
      </c>
      <c r="C60" s="41" t="s">
        <v>49</v>
      </c>
      <c r="D60" s="15"/>
      <c r="E60" s="18">
        <f>6634468.03+6009339.81</f>
        <v>12643807.84</v>
      </c>
      <c r="F60" s="19" t="s">
        <v>18</v>
      </c>
      <c r="G60" s="19" t="s">
        <v>18</v>
      </c>
      <c r="H60" s="19" t="s">
        <v>18</v>
      </c>
      <c r="I60" s="19" t="s">
        <v>18</v>
      </c>
      <c r="J60" s="19" t="s">
        <v>18</v>
      </c>
      <c r="K60" s="42"/>
    </row>
    <row r="61" ht="69">
      <c r="A61" s="15"/>
      <c r="B61" s="30"/>
      <c r="C61" s="21" t="s">
        <v>32</v>
      </c>
      <c r="D61" s="27" t="s">
        <v>33</v>
      </c>
      <c r="E61" s="23">
        <f>K61</f>
        <v>191572.84606060607</v>
      </c>
      <c r="F61" s="24">
        <f t="shared" ref="F61:F62" si="12">(6348438.75)/66</f>
        <v>96188.465909090912</v>
      </c>
      <c r="G61" s="25">
        <f t="shared" ref="G61:G62" si="13">(4320912.8)/66</f>
        <v>65468.375757575755</v>
      </c>
      <c r="H61" s="19">
        <v>29</v>
      </c>
      <c r="I61" s="19">
        <f t="shared" si="2"/>
        <v>29</v>
      </c>
      <c r="J61" s="19">
        <f t="shared" si="3"/>
        <v>29</v>
      </c>
      <c r="K61" s="26">
        <f>E60/(H61+H62)</f>
        <v>191572.84606060607</v>
      </c>
    </row>
    <row r="62" ht="69">
      <c r="A62" s="15"/>
      <c r="B62" s="30"/>
      <c r="C62" s="21" t="s">
        <v>34</v>
      </c>
      <c r="D62" s="27" t="s">
        <v>35</v>
      </c>
      <c r="E62" s="23">
        <f>K61</f>
        <v>191572.84606060607</v>
      </c>
      <c r="F62" s="24">
        <f t="shared" si="12"/>
        <v>96188.465909090912</v>
      </c>
      <c r="G62" s="25">
        <f t="shared" si="13"/>
        <v>65468.375757575755</v>
      </c>
      <c r="H62" s="19">
        <v>37</v>
      </c>
      <c r="I62" s="19">
        <f t="shared" si="2"/>
        <v>37</v>
      </c>
      <c r="J62" s="19">
        <f t="shared" si="3"/>
        <v>37</v>
      </c>
      <c r="K62" s="14"/>
    </row>
    <row r="63" ht="17.25">
      <c r="A63" s="15"/>
      <c r="B63" s="30"/>
      <c r="C63" s="44"/>
      <c r="D63" s="44"/>
      <c r="E63" s="28"/>
      <c r="F63" s="24"/>
      <c r="G63" s="24"/>
      <c r="H63" s="32"/>
      <c r="I63" s="32"/>
      <c r="J63" s="32"/>
      <c r="K63" s="14"/>
    </row>
    <row r="64" ht="17.25">
      <c r="A64" s="15"/>
      <c r="B64" s="30" t="s">
        <v>30</v>
      </c>
      <c r="C64" s="45" t="s">
        <v>50</v>
      </c>
      <c r="D64" s="45"/>
      <c r="E64" s="37">
        <f>E31+E35+E40+E48+E54+E60</f>
        <v>385725621.66999996</v>
      </c>
      <c r="F64" s="24"/>
      <c r="G64" s="24"/>
      <c r="H64" s="32"/>
      <c r="I64" s="32"/>
      <c r="J64" s="32"/>
      <c r="K64" s="46"/>
    </row>
    <row r="65" ht="18.75">
      <c r="A65" s="15"/>
      <c r="B65" s="30"/>
      <c r="C65" s="30"/>
      <c r="D65" s="47"/>
      <c r="E65" s="37"/>
      <c r="F65" s="47"/>
      <c r="G65" s="47"/>
      <c r="H65" s="32"/>
      <c r="I65" s="32"/>
      <c r="J65" s="32"/>
      <c r="K65" s="42"/>
    </row>
    <row r="66" ht="75">
      <c r="A66" s="15">
        <v>13</v>
      </c>
      <c r="B66" s="30" t="s">
        <v>51</v>
      </c>
      <c r="C66" s="41" t="s">
        <v>52</v>
      </c>
      <c r="D66" s="15"/>
      <c r="E66" s="18">
        <f>25533076.03</f>
        <v>25533076.030000001</v>
      </c>
      <c r="F66" s="19" t="s">
        <v>18</v>
      </c>
      <c r="G66" s="19" t="s">
        <v>18</v>
      </c>
      <c r="H66" s="19" t="s">
        <v>18</v>
      </c>
      <c r="I66" s="19" t="s">
        <v>18</v>
      </c>
      <c r="J66" s="19" t="s">
        <v>18</v>
      </c>
      <c r="K66" s="42"/>
    </row>
    <row r="67" ht="75">
      <c r="A67" s="15"/>
      <c r="B67" s="30"/>
      <c r="C67" s="21" t="s">
        <v>53</v>
      </c>
      <c r="D67" s="27" t="s">
        <v>54</v>
      </c>
      <c r="E67" s="23">
        <v>58696.72651</v>
      </c>
      <c r="F67" s="33">
        <f>(23245644)/435</f>
        <v>53438.262068965516</v>
      </c>
      <c r="G67" s="33">
        <f>(2232432.03)/435</f>
        <v>5132.0276551724137</v>
      </c>
      <c r="H67" s="19">
        <v>435</v>
      </c>
      <c r="I67" s="19">
        <f t="shared" si="2"/>
        <v>435</v>
      </c>
      <c r="J67" s="19">
        <f t="shared" si="3"/>
        <v>435</v>
      </c>
      <c r="K67" s="48"/>
    </row>
    <row r="68" ht="18.75">
      <c r="A68" s="15"/>
      <c r="B68" s="30" t="s">
        <v>51</v>
      </c>
      <c r="C68" s="49" t="s">
        <v>55</v>
      </c>
      <c r="D68" s="49"/>
      <c r="E68" s="50"/>
      <c r="F68" s="51"/>
      <c r="G68" s="51"/>
      <c r="H68" s="32"/>
      <c r="I68" s="32"/>
      <c r="J68" s="32"/>
      <c r="K68" s="14"/>
    </row>
    <row r="69" ht="18.75">
      <c r="A69" s="52" t="s">
        <v>56</v>
      </c>
      <c r="B69" s="52"/>
      <c r="C69" s="52"/>
      <c r="D69" s="52"/>
      <c r="E69" s="52"/>
      <c r="F69" s="15" t="s">
        <v>18</v>
      </c>
      <c r="G69" s="15" t="s">
        <v>18</v>
      </c>
      <c r="H69" s="15" t="s">
        <v>18</v>
      </c>
      <c r="I69" s="15" t="s">
        <v>18</v>
      </c>
      <c r="J69" s="15" t="s">
        <v>18</v>
      </c>
      <c r="K69" s="14"/>
    </row>
    <row r="70" ht="37.5">
      <c r="A70" s="15">
        <v>14</v>
      </c>
      <c r="B70" s="30" t="s">
        <v>57</v>
      </c>
      <c r="C70" s="53" t="s">
        <v>58</v>
      </c>
      <c r="D70" s="27"/>
      <c r="E70" s="54">
        <f>21546066.55</f>
        <v>21546066.550000001</v>
      </c>
      <c r="F70" s="33"/>
      <c r="G70" s="33"/>
      <c r="H70" s="19"/>
      <c r="I70" s="19"/>
      <c r="J70" s="19"/>
      <c r="K70" s="55">
        <f>(E71*H71)+(E72*H72)</f>
        <v>21546066.550000001</v>
      </c>
    </row>
    <row r="71" ht="75">
      <c r="A71" s="15"/>
      <c r="B71" s="30" t="s">
        <v>57</v>
      </c>
      <c r="C71" s="21" t="s">
        <v>59</v>
      </c>
      <c r="D71" s="27" t="s">
        <v>60</v>
      </c>
      <c r="E71" s="23">
        <f>K71</f>
        <v>371483.90603448276</v>
      </c>
      <c r="F71" s="33">
        <f t="shared" ref="F71:F72" si="14">(12027608)/58</f>
        <v>207372.55172413794</v>
      </c>
      <c r="G71" s="33">
        <f t="shared" ref="G71:G72" si="15">(1004606.57)/58</f>
        <v>17320.802931034483</v>
      </c>
      <c r="H71" s="19">
        <v>27</v>
      </c>
      <c r="I71" s="19">
        <f t="shared" si="2"/>
        <v>27</v>
      </c>
      <c r="J71" s="19">
        <f t="shared" si="3"/>
        <v>27</v>
      </c>
      <c r="K71" s="31">
        <f>E70/(H71+H72)</f>
        <v>371483.90603448276</v>
      </c>
    </row>
    <row r="72" ht="75">
      <c r="A72" s="15"/>
      <c r="B72" s="30" t="s">
        <v>57</v>
      </c>
      <c r="C72" s="21" t="s">
        <v>59</v>
      </c>
      <c r="D72" s="27" t="s">
        <v>61</v>
      </c>
      <c r="E72" s="23">
        <f>K71</f>
        <v>371483.90603448276</v>
      </c>
      <c r="F72" s="33">
        <f t="shared" si="14"/>
        <v>207372.55172413794</v>
      </c>
      <c r="G72" s="33">
        <f t="shared" si="15"/>
        <v>17320.802931034483</v>
      </c>
      <c r="H72" s="19">
        <v>31</v>
      </c>
      <c r="I72" s="19">
        <f t="shared" si="2"/>
        <v>31</v>
      </c>
      <c r="J72" s="19">
        <f t="shared" si="3"/>
        <v>31</v>
      </c>
      <c r="K72" s="48"/>
    </row>
    <row r="73" ht="14.25"/>
    <row r="74" ht="14.25"/>
    <row r="75" ht="14.25"/>
    <row r="76" ht="14.25"/>
  </sheetData>
  <mergeCells count="16">
    <mergeCell ref="G1:J1"/>
    <mergeCell ref="G2:J2"/>
    <mergeCell ref="B3:G3"/>
    <mergeCell ref="A5:J5"/>
    <mergeCell ref="A7:A8"/>
    <mergeCell ref="B7:B8"/>
    <mergeCell ref="C7:C8"/>
    <mergeCell ref="D7:D8"/>
    <mergeCell ref="E7:E8"/>
    <mergeCell ref="F7:G7"/>
    <mergeCell ref="H7:J7"/>
    <mergeCell ref="C30:D30"/>
    <mergeCell ref="C63:D63"/>
    <mergeCell ref="C64:D64"/>
    <mergeCell ref="C68:D68"/>
    <mergeCell ref="A69:E69"/>
  </mergeCells>
  <hyperlinks>
    <hyperlink location="Par866" ref="C13"/>
    <hyperlink location="Par866" ref="C16"/>
    <hyperlink location="Par866" ref="C20"/>
    <hyperlink location="Par866" ref="C24"/>
    <hyperlink location="Par866" ref="C28"/>
  </hyperlinks>
  <printOptions headings="0" gridLines="0"/>
  <pageMargins left="0.59055118110236249" right="0.59055118110236249" top="1.181102362204725" bottom="0.59055118110236249" header="0.31496062992125984" footer="0.31496062992125984"/>
  <pageSetup paperSize="9" scale="61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2" activeCellId="0" sqref="H2:J2"/>
    </sheetView>
  </sheetViews>
  <sheetFormatPr defaultRowHeight="14.25"/>
  <cols>
    <col customWidth="1" min="3" max="3" width="28.5703125"/>
    <col customWidth="1" min="4" max="4" width="35.5703125"/>
    <col customWidth="1" min="5" max="5" width="28.28515625"/>
    <col customWidth="1" min="6" max="6" width="29.85546875"/>
    <col customWidth="1" min="7" max="7" width="25.140625"/>
    <col customWidth="1" min="8" max="8" width="21.85546875"/>
    <col customWidth="1" min="9" max="9" width="20.5703125"/>
    <col customWidth="1" min="10" max="10" width="22"/>
    <col customWidth="1" min="11" max="11" width="29"/>
  </cols>
  <sheetData>
    <row r="1" ht="44.25" customHeight="1">
      <c r="G1" s="1" t="s">
        <v>62</v>
      </c>
      <c r="H1" s="1"/>
      <c r="I1" s="1"/>
      <c r="J1" s="1"/>
    </row>
    <row r="2" ht="153.75" customHeight="1">
      <c r="A2" s="2"/>
      <c r="B2" s="3"/>
      <c r="C2" s="3"/>
      <c r="D2" s="3"/>
      <c r="E2" s="3"/>
      <c r="F2" s="4" t="s">
        <v>1</v>
      </c>
      <c r="G2" s="1" t="s">
        <v>63</v>
      </c>
      <c r="H2" s="1"/>
      <c r="I2" s="1"/>
      <c r="J2" s="1"/>
      <c r="K2" s="2"/>
    </row>
    <row r="3" ht="17.25">
      <c r="A3" s="5"/>
      <c r="B3" s="6"/>
      <c r="C3" s="6"/>
      <c r="D3" s="6"/>
      <c r="E3" s="6"/>
      <c r="F3" s="6"/>
      <c r="G3" s="6"/>
      <c r="H3" s="5"/>
      <c r="I3" s="5"/>
      <c r="J3" s="5"/>
      <c r="K3" s="5"/>
    </row>
    <row r="4" ht="17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72" customHeight="1">
      <c r="A5" s="1" t="s">
        <v>64</v>
      </c>
      <c r="B5" s="1"/>
      <c r="C5" s="1"/>
      <c r="D5" s="1"/>
      <c r="E5" s="1"/>
      <c r="F5" s="1"/>
      <c r="G5" s="1"/>
      <c r="H5" s="1"/>
      <c r="I5" s="1"/>
      <c r="J5" s="1"/>
      <c r="K5" s="5"/>
    </row>
    <row r="6" ht="17.25">
      <c r="A6" s="5"/>
      <c r="B6" s="5"/>
      <c r="C6" s="5"/>
      <c r="D6" s="7"/>
      <c r="E6" s="8"/>
      <c r="F6" s="8"/>
      <c r="G6" s="8"/>
      <c r="H6" s="8"/>
      <c r="I6" s="8"/>
      <c r="J6" s="9"/>
      <c r="K6" s="5"/>
    </row>
    <row r="7" ht="17.25">
      <c r="A7" s="10" t="s">
        <v>4</v>
      </c>
      <c r="B7" s="10" t="s">
        <v>5</v>
      </c>
      <c r="C7" s="11" t="s">
        <v>6</v>
      </c>
      <c r="D7" s="10" t="s">
        <v>7</v>
      </c>
      <c r="E7" s="11" t="s">
        <v>8</v>
      </c>
      <c r="F7" s="12" t="s">
        <v>9</v>
      </c>
      <c r="G7" s="12"/>
      <c r="H7" s="13"/>
      <c r="I7" s="13"/>
      <c r="J7" s="13"/>
      <c r="K7" s="3"/>
    </row>
    <row r="8" ht="192" customHeight="1">
      <c r="A8" s="10"/>
      <c r="B8" s="10"/>
      <c r="C8" s="11"/>
      <c r="D8" s="10"/>
      <c r="E8" s="11"/>
      <c r="F8" s="12" t="s">
        <v>10</v>
      </c>
      <c r="G8" s="12" t="s">
        <v>11</v>
      </c>
      <c r="H8" s="11" t="s">
        <v>12</v>
      </c>
      <c r="I8" s="11" t="s">
        <v>13</v>
      </c>
      <c r="J8" s="11" t="s">
        <v>14</v>
      </c>
      <c r="K8" s="3"/>
    </row>
    <row r="9" ht="17.25">
      <c r="A9" s="12">
        <v>1</v>
      </c>
      <c r="B9" s="12">
        <v>2</v>
      </c>
      <c r="C9" s="12">
        <v>3</v>
      </c>
      <c r="D9" s="12">
        <v>4</v>
      </c>
      <c r="E9" s="12"/>
      <c r="F9" s="12">
        <v>5</v>
      </c>
      <c r="G9" s="12">
        <v>6</v>
      </c>
      <c r="H9" s="12">
        <v>9</v>
      </c>
      <c r="I9" s="12">
        <v>10</v>
      </c>
      <c r="J9" s="12">
        <v>11</v>
      </c>
      <c r="K9" s="14"/>
    </row>
    <row r="10" ht="69">
      <c r="A10" s="15" t="s">
        <v>15</v>
      </c>
      <c r="B10" s="16" t="s">
        <v>16</v>
      </c>
      <c r="C10" s="17" t="s">
        <v>17</v>
      </c>
      <c r="D10" s="15"/>
      <c r="E10" s="18">
        <v>20973111.07</v>
      </c>
      <c r="F10" s="15" t="s">
        <v>18</v>
      </c>
      <c r="G10" s="15" t="s">
        <v>18</v>
      </c>
      <c r="H10" s="19" t="s">
        <v>18</v>
      </c>
      <c r="I10" s="19" t="s">
        <v>18</v>
      </c>
      <c r="J10" s="19" t="s">
        <v>18</v>
      </c>
      <c r="K10" s="20">
        <f>E11*H11+E13*H13</f>
        <v>20973111.07</v>
      </c>
    </row>
    <row r="11" ht="69">
      <c r="A11" s="15"/>
      <c r="B11" s="15"/>
      <c r="C11" s="21" t="s">
        <v>19</v>
      </c>
      <c r="D11" s="22" t="s">
        <v>20</v>
      </c>
      <c r="E11" s="23">
        <v>522377.27675000002</v>
      </c>
      <c r="F11" s="24">
        <f>(10914967.93)/H11</f>
        <v>272874.19825000002</v>
      </c>
      <c r="G11" s="25">
        <f>(2284358.45)/H11</f>
        <v>57108.961250000008</v>
      </c>
      <c r="H11" s="19">
        <v>40</v>
      </c>
      <c r="I11" s="19">
        <v>40</v>
      </c>
      <c r="J11" s="19">
        <v>40</v>
      </c>
      <c r="K11" s="26">
        <f>(E10-E13*H13)/H11</f>
        <v>522377.27675000002</v>
      </c>
    </row>
    <row r="12" ht="17.25">
      <c r="A12" s="15"/>
      <c r="B12" s="15"/>
      <c r="C12" s="21" t="s">
        <v>21</v>
      </c>
      <c r="D12" s="27" t="s">
        <v>22</v>
      </c>
      <c r="E12" s="28">
        <v>0</v>
      </c>
      <c r="F12" s="29">
        <v>0</v>
      </c>
      <c r="G12" s="29">
        <v>0</v>
      </c>
      <c r="H12" s="19"/>
      <c r="I12" s="19"/>
      <c r="J12" s="19"/>
      <c r="K12" s="14"/>
    </row>
    <row r="13" ht="17.25">
      <c r="A13" s="15"/>
      <c r="B13" s="15"/>
      <c r="C13" s="21" t="s">
        <v>23</v>
      </c>
      <c r="D13" s="22" t="s">
        <v>24</v>
      </c>
      <c r="E13" s="28">
        <v>19505</v>
      </c>
      <c r="F13" s="24">
        <v>0</v>
      </c>
      <c r="G13" s="24">
        <v>0</v>
      </c>
      <c r="H13" s="19">
        <v>4</v>
      </c>
      <c r="I13" s="19">
        <v>4</v>
      </c>
      <c r="J13" s="19">
        <v>4</v>
      </c>
      <c r="K13" s="14"/>
    </row>
    <row r="14" ht="69">
      <c r="A14" s="15">
        <v>2</v>
      </c>
      <c r="B14" s="30" t="s">
        <v>16</v>
      </c>
      <c r="C14" s="17" t="s">
        <v>25</v>
      </c>
      <c r="D14" s="15"/>
      <c r="E14" s="18">
        <f>28859617.87</f>
        <v>28859617.870000001</v>
      </c>
      <c r="F14" s="19" t="s">
        <v>18</v>
      </c>
      <c r="G14" s="19" t="s">
        <v>18</v>
      </c>
      <c r="H14" s="19" t="s">
        <v>18</v>
      </c>
      <c r="I14" s="19" t="s">
        <v>18</v>
      </c>
      <c r="J14" s="19" t="s">
        <v>18</v>
      </c>
      <c r="K14" s="20">
        <f>E15*H15+E17*H17</f>
        <v>28859617.870079998</v>
      </c>
    </row>
    <row r="15" ht="69">
      <c r="A15" s="15"/>
      <c r="B15" s="15"/>
      <c r="C15" s="21" t="s">
        <v>19</v>
      </c>
      <c r="D15" s="22" t="s">
        <v>20</v>
      </c>
      <c r="E15" s="23">
        <v>625262.88847999997</v>
      </c>
      <c r="F15" s="24">
        <f>(15694148.47)/H15</f>
        <v>341177.14065217396</v>
      </c>
      <c r="G15" s="25">
        <f>(2841897.72)/H15</f>
        <v>61780.385217391311</v>
      </c>
      <c r="H15" s="19">
        <v>46</v>
      </c>
      <c r="I15" s="19">
        <v>46</v>
      </c>
      <c r="J15" s="19">
        <f>I15</f>
        <v>46</v>
      </c>
      <c r="K15" s="31">
        <f>(E14-E17*H17)/H15</f>
        <v>625262.88847826084</v>
      </c>
    </row>
    <row r="16" ht="17.25">
      <c r="A16" s="15"/>
      <c r="B16" s="15"/>
      <c r="C16" s="21" t="s">
        <v>23</v>
      </c>
      <c r="D16" s="27" t="s">
        <v>22</v>
      </c>
      <c r="E16" s="28">
        <v>0</v>
      </c>
      <c r="F16" s="29">
        <v>0</v>
      </c>
      <c r="G16" s="29">
        <v>0</v>
      </c>
      <c r="H16" s="32"/>
      <c r="I16" s="32"/>
      <c r="J16" s="32"/>
      <c r="K16" s="14"/>
    </row>
    <row r="17" ht="17.25">
      <c r="A17" s="15"/>
      <c r="B17" s="15"/>
      <c r="C17" s="21" t="s">
        <v>21</v>
      </c>
      <c r="D17" s="22" t="s">
        <v>24</v>
      </c>
      <c r="E17" s="28">
        <v>19505</v>
      </c>
      <c r="F17" s="24">
        <v>0</v>
      </c>
      <c r="G17" s="24">
        <v>0</v>
      </c>
      <c r="H17" s="19">
        <v>5</v>
      </c>
      <c r="I17" s="19">
        <v>5</v>
      </c>
      <c r="J17" s="19">
        <v>5</v>
      </c>
      <c r="K17" s="14"/>
    </row>
    <row r="18" ht="69">
      <c r="A18" s="15">
        <v>3</v>
      </c>
      <c r="B18" s="30" t="s">
        <v>16</v>
      </c>
      <c r="C18" s="17" t="s">
        <v>26</v>
      </c>
      <c r="D18" s="15"/>
      <c r="E18" s="18">
        <f>63811789.41</f>
        <v>63811789.409999996</v>
      </c>
      <c r="F18" s="19" t="s">
        <v>18</v>
      </c>
      <c r="G18" s="19" t="s">
        <v>18</v>
      </c>
      <c r="H18" s="19" t="s">
        <v>18</v>
      </c>
      <c r="I18" s="19" t="s">
        <v>18</v>
      </c>
      <c r="J18" s="19" t="s">
        <v>18</v>
      </c>
      <c r="K18" s="20">
        <f>E19*H19+E21*H21</f>
        <v>63811789.410489999</v>
      </c>
    </row>
    <row r="19" ht="69">
      <c r="A19" s="15"/>
      <c r="B19" s="30"/>
      <c r="C19" s="21" t="s">
        <v>19</v>
      </c>
      <c r="D19" s="22" t="s">
        <v>20</v>
      </c>
      <c r="E19" s="23">
        <v>335874.09740999999</v>
      </c>
      <c r="F19" s="24">
        <f>(39642705.31)/H19</f>
        <v>209749.76354497357</v>
      </c>
      <c r="G19" s="33">
        <f>(7146550.66)/H19</f>
        <v>37812.437354497357</v>
      </c>
      <c r="H19" s="19">
        <v>189</v>
      </c>
      <c r="I19" s="19">
        <v>189</v>
      </c>
      <c r="J19" s="19">
        <f>I19</f>
        <v>189</v>
      </c>
      <c r="K19" s="31">
        <f>(E18-E21*H21)/H19</f>
        <v>335874.09740740736</v>
      </c>
    </row>
    <row r="20" ht="17.25">
      <c r="A20" s="15"/>
      <c r="B20" s="30"/>
      <c r="C20" s="21" t="s">
        <v>23</v>
      </c>
      <c r="D20" s="27" t="s">
        <v>22</v>
      </c>
      <c r="E20" s="34">
        <v>0</v>
      </c>
      <c r="F20" s="29">
        <v>0</v>
      </c>
      <c r="G20" s="29">
        <v>0</v>
      </c>
      <c r="H20" s="32"/>
      <c r="I20" s="32"/>
      <c r="J20" s="32"/>
      <c r="K20" s="14"/>
    </row>
    <row r="21" ht="17.25">
      <c r="A21" s="15"/>
      <c r="B21" s="30"/>
      <c r="C21" s="21" t="s">
        <v>21</v>
      </c>
      <c r="D21" s="22" t="s">
        <v>24</v>
      </c>
      <c r="E21" s="28">
        <v>19505</v>
      </c>
      <c r="F21" s="24">
        <v>0</v>
      </c>
      <c r="G21" s="24">
        <v>0</v>
      </c>
      <c r="H21" s="19">
        <v>17</v>
      </c>
      <c r="I21" s="19">
        <v>17</v>
      </c>
      <c r="J21" s="19">
        <v>17</v>
      </c>
      <c r="K21" s="14"/>
    </row>
    <row r="22" ht="69">
      <c r="A22" s="15">
        <v>4</v>
      </c>
      <c r="B22" s="30" t="s">
        <v>16</v>
      </c>
      <c r="C22" s="17" t="s">
        <v>27</v>
      </c>
      <c r="D22" s="15"/>
      <c r="E22" s="18">
        <f>81483507.98</f>
        <v>81483507.980000004</v>
      </c>
      <c r="F22" s="19" t="s">
        <v>18</v>
      </c>
      <c r="G22" s="19" t="s">
        <v>18</v>
      </c>
      <c r="H22" s="19" t="s">
        <v>18</v>
      </c>
      <c r="I22" s="19" t="s">
        <v>18</v>
      </c>
      <c r="J22" s="19" t="s">
        <v>18</v>
      </c>
      <c r="K22" s="20">
        <f>E23*H23+E25*H25</f>
        <v>81483507.98048</v>
      </c>
    </row>
    <row r="23" ht="69">
      <c r="A23" s="15"/>
      <c r="B23" s="30"/>
      <c r="C23" s="21" t="s">
        <v>19</v>
      </c>
      <c r="D23" s="22" t="s">
        <v>20</v>
      </c>
      <c r="E23" s="23">
        <v>326360.35476000002</v>
      </c>
      <c r="F23" s="24">
        <f>(49245814.82)/H23</f>
        <v>198571.83395161291</v>
      </c>
      <c r="G23" s="25">
        <f>(9947961.22)/H23</f>
        <v>40112.746854838711</v>
      </c>
      <c r="H23" s="19">
        <v>248</v>
      </c>
      <c r="I23" s="19">
        <v>248</v>
      </c>
      <c r="J23" s="19">
        <f>I23</f>
        <v>248</v>
      </c>
      <c r="K23" s="31">
        <f>(E22-E25*H25)/H23</f>
        <v>326360.35475806455</v>
      </c>
    </row>
    <row r="24" ht="17.25">
      <c r="A24" s="15"/>
      <c r="B24" s="30"/>
      <c r="C24" s="21" t="s">
        <v>23</v>
      </c>
      <c r="D24" s="27" t="s">
        <v>22</v>
      </c>
      <c r="E24" s="28">
        <v>0</v>
      </c>
      <c r="F24" s="24">
        <v>0</v>
      </c>
      <c r="G24" s="24">
        <v>0</v>
      </c>
      <c r="H24" s="32"/>
      <c r="I24" s="32"/>
      <c r="J24" s="32"/>
      <c r="K24" s="14"/>
    </row>
    <row r="25" ht="17.25">
      <c r="A25" s="15"/>
      <c r="B25" s="30"/>
      <c r="C25" s="21" t="s">
        <v>21</v>
      </c>
      <c r="D25" s="22" t="s">
        <v>24</v>
      </c>
      <c r="E25" s="28">
        <v>19505</v>
      </c>
      <c r="F25" s="24">
        <v>0</v>
      </c>
      <c r="G25" s="24">
        <v>0</v>
      </c>
      <c r="H25" s="19">
        <v>28</v>
      </c>
      <c r="I25" s="19">
        <v>28</v>
      </c>
      <c r="J25" s="19">
        <v>28</v>
      </c>
      <c r="K25" s="14"/>
    </row>
    <row r="26" ht="69">
      <c r="A26" s="15">
        <v>5</v>
      </c>
      <c r="B26" s="30" t="s">
        <v>16</v>
      </c>
      <c r="C26" s="17" t="s">
        <v>28</v>
      </c>
      <c r="D26" s="15"/>
      <c r="E26" s="18">
        <f>52982331.52</f>
        <v>52982331.520000003</v>
      </c>
      <c r="F26" s="19" t="s">
        <v>18</v>
      </c>
      <c r="G26" s="19" t="s">
        <v>18</v>
      </c>
      <c r="H26" s="19" t="s">
        <v>18</v>
      </c>
      <c r="I26" s="19" t="s">
        <v>18</v>
      </c>
      <c r="J26" s="19" t="s">
        <v>18</v>
      </c>
      <c r="K26" s="20">
        <f>E27*H27+E29*H29</f>
        <v>52982331.520340003</v>
      </c>
    </row>
    <row r="27" ht="69">
      <c r="A27" s="15"/>
      <c r="B27" s="30"/>
      <c r="C27" s="21" t="s">
        <v>19</v>
      </c>
      <c r="D27" s="22" t="s">
        <v>20</v>
      </c>
      <c r="E27" s="23">
        <v>295242.81753</v>
      </c>
      <c r="F27" s="24">
        <f>(31669136.29)/H27</f>
        <v>177916.49601123595</v>
      </c>
      <c r="G27" s="33">
        <f>(6599503.98)/H27</f>
        <v>37075.865056179777</v>
      </c>
      <c r="H27" s="19">
        <v>178</v>
      </c>
      <c r="I27" s="19">
        <f>H27</f>
        <v>178</v>
      </c>
      <c r="J27" s="19">
        <f>I27</f>
        <v>178</v>
      </c>
      <c r="K27" s="31">
        <f>(E26-E29*H29)/H27</f>
        <v>295242.81752808992</v>
      </c>
    </row>
    <row r="28" ht="17.25">
      <c r="A28" s="15"/>
      <c r="B28" s="30"/>
      <c r="C28" s="21" t="s">
        <v>23</v>
      </c>
      <c r="D28" s="27" t="s">
        <v>22</v>
      </c>
      <c r="E28" s="28">
        <v>0</v>
      </c>
      <c r="F28" s="24">
        <v>0</v>
      </c>
      <c r="G28" s="24">
        <v>0</v>
      </c>
      <c r="H28" s="32"/>
      <c r="I28" s="32"/>
      <c r="J28" s="32"/>
      <c r="K28" s="14"/>
    </row>
    <row r="29" ht="17.25">
      <c r="A29" s="15"/>
      <c r="B29" s="30"/>
      <c r="C29" s="21" t="s">
        <v>21</v>
      </c>
      <c r="D29" s="22" t="s">
        <v>24</v>
      </c>
      <c r="E29" s="28">
        <v>19505</v>
      </c>
      <c r="F29" s="24">
        <v>0</v>
      </c>
      <c r="G29" s="24">
        <v>0</v>
      </c>
      <c r="H29" s="19">
        <v>22</v>
      </c>
      <c r="I29" s="19">
        <v>22</v>
      </c>
      <c r="J29" s="19">
        <v>22</v>
      </c>
      <c r="K29" s="14"/>
    </row>
    <row r="30" ht="17.25">
      <c r="A30" s="35"/>
      <c r="B30" s="30" t="s">
        <v>16</v>
      </c>
      <c r="C30" s="36" t="s">
        <v>29</v>
      </c>
      <c r="D30" s="36"/>
      <c r="E30" s="37">
        <f>E10+E14+E18+E22+E26</f>
        <v>248110357.84999999</v>
      </c>
      <c r="F30" s="38"/>
      <c r="G30" s="38"/>
      <c r="H30" s="19">
        <f>H11+H13+H15+H17+H19+H21+H23+H25+H27+H29</f>
        <v>777</v>
      </c>
      <c r="I30" s="39"/>
      <c r="J30" s="39"/>
      <c r="K30" s="40"/>
    </row>
    <row r="31" ht="51.75">
      <c r="A31" s="15">
        <v>7</v>
      </c>
      <c r="B31" s="30" t="s">
        <v>30</v>
      </c>
      <c r="C31" s="41" t="s">
        <v>31</v>
      </c>
      <c r="D31" s="15"/>
      <c r="E31" s="18">
        <f>116770237.39</f>
        <v>116770237.39</v>
      </c>
      <c r="F31" s="15" t="s">
        <v>18</v>
      </c>
      <c r="G31" s="15" t="s">
        <v>18</v>
      </c>
      <c r="H31" s="19" t="s">
        <v>18</v>
      </c>
      <c r="I31" s="19" t="s">
        <v>18</v>
      </c>
      <c r="J31" s="19" t="s">
        <v>18</v>
      </c>
      <c r="K31" s="20">
        <f>(E32*H32)+(E33*H33)+E34*H34</f>
        <v>116770237.39</v>
      </c>
    </row>
    <row r="32" ht="69">
      <c r="A32" s="15"/>
      <c r="B32" s="30"/>
      <c r="C32" s="21" t="s">
        <v>32</v>
      </c>
      <c r="D32" s="27" t="s">
        <v>33</v>
      </c>
      <c r="E32" s="23">
        <f>K32</f>
        <v>125424.52995703544</v>
      </c>
      <c r="F32" s="33">
        <f t="shared" ref="F32:F34" si="16">(83572842.43)/931</f>
        <v>89766.748045112792</v>
      </c>
      <c r="G32" s="25">
        <f t="shared" ref="G32:G34" si="17">(15553418.04)/931</f>
        <v>16706.141825993553</v>
      </c>
      <c r="H32" s="19">
        <v>343</v>
      </c>
      <c r="I32" s="19">
        <v>343</v>
      </c>
      <c r="J32" s="19">
        <v>343</v>
      </c>
      <c r="K32" s="31">
        <f>E31/(H32+H33+H34)</f>
        <v>125424.52995703544</v>
      </c>
    </row>
    <row r="33" ht="69">
      <c r="A33" s="15"/>
      <c r="B33" s="30"/>
      <c r="C33" s="21" t="s">
        <v>34</v>
      </c>
      <c r="D33" s="27" t="s">
        <v>35</v>
      </c>
      <c r="E33" s="23">
        <f>K32</f>
        <v>125424.52995703544</v>
      </c>
      <c r="F33" s="33">
        <f t="shared" si="16"/>
        <v>89766.748045112792</v>
      </c>
      <c r="G33" s="25">
        <f t="shared" si="17"/>
        <v>16706.141825993553</v>
      </c>
      <c r="H33" s="19">
        <v>480</v>
      </c>
      <c r="I33" s="19">
        <f t="shared" ref="I33:I72" si="18">H33</f>
        <v>480</v>
      </c>
      <c r="J33" s="19">
        <f t="shared" ref="J33:J72" si="19">I33</f>
        <v>480</v>
      </c>
      <c r="K33" s="14"/>
    </row>
    <row r="34" ht="69">
      <c r="A34" s="15"/>
      <c r="B34" s="30"/>
      <c r="C34" s="21" t="s">
        <v>36</v>
      </c>
      <c r="D34" s="27" t="s">
        <v>37</v>
      </c>
      <c r="E34" s="23">
        <f>K32</f>
        <v>125424.52995703544</v>
      </c>
      <c r="F34" s="33">
        <f t="shared" si="16"/>
        <v>89766.748045112792</v>
      </c>
      <c r="G34" s="25">
        <f t="shared" si="17"/>
        <v>16706.141825993553</v>
      </c>
      <c r="H34" s="19">
        <v>108</v>
      </c>
      <c r="I34" s="19">
        <f t="shared" si="18"/>
        <v>108</v>
      </c>
      <c r="J34" s="19">
        <f t="shared" si="19"/>
        <v>108</v>
      </c>
      <c r="K34" s="14"/>
    </row>
    <row r="35" ht="120.75">
      <c r="A35" s="15">
        <v>8</v>
      </c>
      <c r="B35" s="30" t="s">
        <v>30</v>
      </c>
      <c r="C35" s="41" t="s">
        <v>38</v>
      </c>
      <c r="D35" s="15"/>
      <c r="E35" s="18">
        <f>108191205.39</f>
        <v>108191205.39</v>
      </c>
      <c r="F35" s="19" t="s">
        <v>18</v>
      </c>
      <c r="G35" s="19" t="s">
        <v>18</v>
      </c>
      <c r="H35" s="19" t="s">
        <v>18</v>
      </c>
      <c r="I35" s="19" t="s">
        <v>18</v>
      </c>
      <c r="J35" s="19" t="s">
        <v>18</v>
      </c>
      <c r="K35" s="20">
        <f>(E36*H36)+(E37*H37)+(E39*H39)</f>
        <v>108191205.38999999</v>
      </c>
    </row>
    <row r="36" ht="69">
      <c r="A36" s="15"/>
      <c r="B36" s="30"/>
      <c r="C36" s="21" t="s">
        <v>32</v>
      </c>
      <c r="D36" s="27" t="s">
        <v>33</v>
      </c>
      <c r="E36" s="23">
        <f>K36</f>
        <v>116334.6294516129</v>
      </c>
      <c r="F36" s="33">
        <f t="shared" ref="F36:F39" si="20">(80051675.66)/930</f>
        <v>86077.070602150532</v>
      </c>
      <c r="G36" s="33">
        <f t="shared" ref="G36:G39" si="21">(13386134.28)/930</f>
        <v>14393.692774193547</v>
      </c>
      <c r="H36" s="19">
        <v>337</v>
      </c>
      <c r="I36" s="19">
        <f t="shared" si="18"/>
        <v>337</v>
      </c>
      <c r="J36" s="19">
        <f t="shared" si="19"/>
        <v>337</v>
      </c>
      <c r="K36" s="31">
        <f>E35/(H36+H37+H38+H39)</f>
        <v>116334.6294516129</v>
      </c>
    </row>
    <row r="37" ht="69">
      <c r="A37" s="15"/>
      <c r="B37" s="30"/>
      <c r="C37" s="21" t="s">
        <v>34</v>
      </c>
      <c r="D37" s="27" t="s">
        <v>35</v>
      </c>
      <c r="E37" s="23">
        <f>K36</f>
        <v>116334.6294516129</v>
      </c>
      <c r="F37" s="33">
        <f t="shared" si="20"/>
        <v>86077.070602150532</v>
      </c>
      <c r="G37" s="33">
        <f t="shared" si="21"/>
        <v>14393.692774193547</v>
      </c>
      <c r="H37" s="19">
        <v>506</v>
      </c>
      <c r="I37" s="19">
        <f t="shared" si="18"/>
        <v>506</v>
      </c>
      <c r="J37" s="19">
        <f t="shared" si="19"/>
        <v>506</v>
      </c>
      <c r="K37" s="14"/>
    </row>
    <row r="38" ht="86.25">
      <c r="A38" s="15"/>
      <c r="B38" s="30"/>
      <c r="C38" s="21" t="s">
        <v>39</v>
      </c>
      <c r="D38" s="27" t="s">
        <v>40</v>
      </c>
      <c r="E38" s="23">
        <f>K36</f>
        <v>116334.6294516129</v>
      </c>
      <c r="F38" s="33">
        <f t="shared" si="20"/>
        <v>86077.070602150532</v>
      </c>
      <c r="G38" s="33">
        <f t="shared" si="21"/>
        <v>14393.692774193547</v>
      </c>
      <c r="H38" s="19">
        <v>0</v>
      </c>
      <c r="I38" s="19">
        <v>0</v>
      </c>
      <c r="J38" s="19">
        <v>0</v>
      </c>
      <c r="K38" s="14"/>
    </row>
    <row r="39" ht="69">
      <c r="A39" s="15"/>
      <c r="B39" s="30"/>
      <c r="C39" s="21" t="s">
        <v>36</v>
      </c>
      <c r="D39" s="27" t="s">
        <v>37</v>
      </c>
      <c r="E39" s="23">
        <f>K36</f>
        <v>116334.6294516129</v>
      </c>
      <c r="F39" s="33">
        <f t="shared" si="20"/>
        <v>86077.070602150532</v>
      </c>
      <c r="G39" s="33">
        <f t="shared" si="21"/>
        <v>14393.692774193547</v>
      </c>
      <c r="H39" s="19">
        <v>87</v>
      </c>
      <c r="I39" s="19">
        <f t="shared" si="18"/>
        <v>87</v>
      </c>
      <c r="J39" s="19">
        <f t="shared" si="19"/>
        <v>87</v>
      </c>
      <c r="K39" s="14"/>
    </row>
    <row r="40" ht="86.25">
      <c r="A40" s="15">
        <v>9</v>
      </c>
      <c r="B40" s="30" t="s">
        <v>30</v>
      </c>
      <c r="C40" s="41" t="s">
        <v>41</v>
      </c>
      <c r="D40" s="15"/>
      <c r="E40" s="18">
        <f>101181720.81</f>
        <v>101181720.81</v>
      </c>
      <c r="F40" s="19" t="s">
        <v>18</v>
      </c>
      <c r="G40" s="19" t="s">
        <v>18</v>
      </c>
      <c r="H40" s="19" t="s">
        <v>18</v>
      </c>
      <c r="I40" s="19" t="s">
        <v>18</v>
      </c>
      <c r="J40" s="19" t="s">
        <v>18</v>
      </c>
      <c r="K40" s="42">
        <f>E41*H41+E42*H42+E43*H43+E44*H44</f>
        <v>68808554.629999995</v>
      </c>
    </row>
    <row r="41" ht="69">
      <c r="A41" s="15"/>
      <c r="B41" s="30"/>
      <c r="C41" s="21" t="s">
        <v>32</v>
      </c>
      <c r="D41" s="27" t="s">
        <v>33</v>
      </c>
      <c r="E41" s="23">
        <f>K42</f>
        <v>126953.05282287822</v>
      </c>
      <c r="F41" s="25">
        <f t="shared" ref="F41:F44" si="22">(44388899.29)/542</f>
        <v>81898.338173431737</v>
      </c>
      <c r="G41" s="33">
        <f t="shared" ref="G41:G44" si="23">(11071649.52)/542</f>
        <v>20427.397638376384</v>
      </c>
      <c r="H41" s="19">
        <v>227</v>
      </c>
      <c r="I41" s="19">
        <f t="shared" si="18"/>
        <v>227</v>
      </c>
      <c r="J41" s="19">
        <f t="shared" si="19"/>
        <v>227</v>
      </c>
      <c r="K41" s="26"/>
    </row>
    <row r="42" ht="69">
      <c r="A42" s="15"/>
      <c r="B42" s="30"/>
      <c r="C42" s="21" t="s">
        <v>34</v>
      </c>
      <c r="D42" s="27" t="s">
        <v>35</v>
      </c>
      <c r="E42" s="23">
        <f>K42</f>
        <v>126953.05282287822</v>
      </c>
      <c r="F42" s="25">
        <f t="shared" si="22"/>
        <v>81898.338173431737</v>
      </c>
      <c r="G42" s="33">
        <f t="shared" si="23"/>
        <v>20427.397638376384</v>
      </c>
      <c r="H42" s="19">
        <v>301</v>
      </c>
      <c r="I42" s="19">
        <f t="shared" si="18"/>
        <v>301</v>
      </c>
      <c r="J42" s="19">
        <f t="shared" si="19"/>
        <v>301</v>
      </c>
      <c r="K42" s="26">
        <f>(E40-31905046.18-468120)/(H41+H42+H43+H44)</f>
        <v>126953.05282287822</v>
      </c>
    </row>
    <row r="43" ht="86.25">
      <c r="A43" s="15"/>
      <c r="B43" s="30"/>
      <c r="C43" s="21" t="s">
        <v>39</v>
      </c>
      <c r="D43" s="27" t="s">
        <v>40</v>
      </c>
      <c r="E43" s="23">
        <f>K42</f>
        <v>126953.05282287822</v>
      </c>
      <c r="F43" s="25">
        <f t="shared" si="22"/>
        <v>81898.338173431737</v>
      </c>
      <c r="G43" s="33">
        <f t="shared" si="23"/>
        <v>20427.397638376384</v>
      </c>
      <c r="H43" s="19">
        <v>0</v>
      </c>
      <c r="I43" s="19">
        <v>0</v>
      </c>
      <c r="J43" s="19">
        <v>0</v>
      </c>
      <c r="K43" s="14"/>
    </row>
    <row r="44" ht="69">
      <c r="A44" s="15"/>
      <c r="B44" s="30"/>
      <c r="C44" s="21" t="s">
        <v>36</v>
      </c>
      <c r="D44" s="27" t="s">
        <v>37</v>
      </c>
      <c r="E44" s="23">
        <f>K42</f>
        <v>126953.05282287822</v>
      </c>
      <c r="F44" s="25">
        <f t="shared" si="22"/>
        <v>81898.338173431737</v>
      </c>
      <c r="G44" s="33">
        <f t="shared" si="23"/>
        <v>20427.397638376384</v>
      </c>
      <c r="H44" s="19">
        <v>14</v>
      </c>
      <c r="I44" s="19">
        <f t="shared" si="18"/>
        <v>14</v>
      </c>
      <c r="J44" s="19">
        <f t="shared" si="19"/>
        <v>14</v>
      </c>
      <c r="K44" s="14"/>
    </row>
    <row r="45" ht="69">
      <c r="A45" s="15"/>
      <c r="B45" s="30"/>
      <c r="C45" s="21" t="s">
        <v>19</v>
      </c>
      <c r="D45" s="27" t="s">
        <v>20</v>
      </c>
      <c r="E45" s="23">
        <v>268109.63176000002</v>
      </c>
      <c r="F45" s="25">
        <f>(13223502.46)/H45</f>
        <v>111121.86941176471</v>
      </c>
      <c r="G45" s="33">
        <f>(2509855.98)/H45</f>
        <v>21091.226722689076</v>
      </c>
      <c r="H45" s="19">
        <v>119</v>
      </c>
      <c r="I45" s="19">
        <v>119</v>
      </c>
      <c r="J45" s="19">
        <v>119</v>
      </c>
      <c r="K45" s="14"/>
    </row>
    <row r="46" ht="17.25">
      <c r="A46" s="15"/>
      <c r="B46" s="30"/>
      <c r="C46" s="21" t="s">
        <v>23</v>
      </c>
      <c r="D46" s="27" t="s">
        <v>22</v>
      </c>
      <c r="E46" s="23">
        <v>0</v>
      </c>
      <c r="F46" s="25">
        <v>0</v>
      </c>
      <c r="G46" s="33">
        <v>0</v>
      </c>
      <c r="H46" s="19">
        <v>0</v>
      </c>
      <c r="I46" s="19">
        <v>0</v>
      </c>
      <c r="J46" s="19">
        <v>0</v>
      </c>
      <c r="K46" s="14"/>
    </row>
    <row r="47" ht="17.25">
      <c r="A47" s="15"/>
      <c r="B47" s="30"/>
      <c r="C47" s="21" t="s">
        <v>23</v>
      </c>
      <c r="D47" s="27" t="s">
        <v>42</v>
      </c>
      <c r="E47" s="23">
        <v>19505</v>
      </c>
      <c r="F47" s="25">
        <v>0</v>
      </c>
      <c r="G47" s="33">
        <v>0</v>
      </c>
      <c r="H47" s="19">
        <v>24</v>
      </c>
      <c r="I47" s="19">
        <v>24</v>
      </c>
      <c r="J47" s="19">
        <v>24</v>
      </c>
      <c r="K47" s="14"/>
    </row>
    <row r="48" ht="51.75">
      <c r="A48" s="15">
        <v>10</v>
      </c>
      <c r="B48" s="30" t="s">
        <v>30</v>
      </c>
      <c r="C48" s="41" t="s">
        <v>43</v>
      </c>
      <c r="D48" s="15"/>
      <c r="E48" s="18">
        <f>55408618.4</f>
        <v>55408618.399999999</v>
      </c>
      <c r="F48" s="19" t="s">
        <v>18</v>
      </c>
      <c r="G48" s="19" t="s">
        <v>18</v>
      </c>
      <c r="H48" s="19" t="s">
        <v>18</v>
      </c>
      <c r="I48" s="19" t="s">
        <v>18</v>
      </c>
      <c r="J48" s="19" t="s">
        <v>18</v>
      </c>
      <c r="K48" s="42">
        <f>E49*H49+E50*H50+E52*H52</f>
        <v>55408618.399999999</v>
      </c>
    </row>
    <row r="49" ht="69">
      <c r="A49" s="15"/>
      <c r="B49" s="30"/>
      <c r="C49" s="21" t="s">
        <v>32</v>
      </c>
      <c r="D49" s="27" t="s">
        <v>33</v>
      </c>
      <c r="E49" s="23">
        <f>K49</f>
        <v>256521.38148148148</v>
      </c>
      <c r="F49" s="33">
        <f t="shared" ref="F49:F52" si="24">(38185227.75)/216</f>
        <v>176783.46180555556</v>
      </c>
      <c r="G49" s="25">
        <f t="shared" ref="G49:G52" si="25">(6395554.06)/216</f>
        <v>29609.046574074073</v>
      </c>
      <c r="H49" s="19">
        <v>76</v>
      </c>
      <c r="I49" s="19">
        <f t="shared" si="18"/>
        <v>76</v>
      </c>
      <c r="J49" s="19">
        <f t="shared" si="19"/>
        <v>76</v>
      </c>
      <c r="K49" s="26">
        <f>E48/(H49+H50+H52)</f>
        <v>256521.38148148148</v>
      </c>
    </row>
    <row r="50" ht="69">
      <c r="A50" s="15"/>
      <c r="B50" s="30"/>
      <c r="C50" s="21" t="s">
        <v>34</v>
      </c>
      <c r="D50" s="27" t="s">
        <v>35</v>
      </c>
      <c r="E50" s="23">
        <f>K49</f>
        <v>256521.38148148148</v>
      </c>
      <c r="F50" s="33">
        <f t="shared" si="24"/>
        <v>176783.46180555556</v>
      </c>
      <c r="G50" s="25">
        <f t="shared" si="25"/>
        <v>29609.046574074073</v>
      </c>
      <c r="H50" s="19">
        <v>115</v>
      </c>
      <c r="I50" s="19">
        <f t="shared" si="18"/>
        <v>115</v>
      </c>
      <c r="J50" s="19">
        <f t="shared" si="19"/>
        <v>115</v>
      </c>
      <c r="K50" s="14"/>
    </row>
    <row r="51" ht="86.25">
      <c r="A51" s="15"/>
      <c r="B51" s="30"/>
      <c r="C51" s="21" t="s">
        <v>39</v>
      </c>
      <c r="D51" s="27" t="s">
        <v>44</v>
      </c>
      <c r="E51" s="23">
        <f>E50</f>
        <v>256521.38148148148</v>
      </c>
      <c r="F51" s="33">
        <f t="shared" si="24"/>
        <v>176783.46180555556</v>
      </c>
      <c r="G51" s="25">
        <f t="shared" si="25"/>
        <v>29609.046574074073</v>
      </c>
      <c r="H51" s="19">
        <v>0</v>
      </c>
      <c r="I51" s="19">
        <v>0</v>
      </c>
      <c r="J51" s="19">
        <v>0</v>
      </c>
      <c r="K51" s="14"/>
    </row>
    <row r="52" ht="69">
      <c r="A52" s="15"/>
      <c r="B52" s="30"/>
      <c r="C52" s="21" t="s">
        <v>45</v>
      </c>
      <c r="D52" s="27" t="s">
        <v>37</v>
      </c>
      <c r="E52" s="23">
        <f>K49</f>
        <v>256521.38148148148</v>
      </c>
      <c r="F52" s="33">
        <f t="shared" si="24"/>
        <v>176783.46180555556</v>
      </c>
      <c r="G52" s="25">
        <f t="shared" si="25"/>
        <v>29609.046574074073</v>
      </c>
      <c r="H52" s="19">
        <v>25</v>
      </c>
      <c r="I52" s="19">
        <f t="shared" si="18"/>
        <v>25</v>
      </c>
      <c r="J52" s="19">
        <f t="shared" si="19"/>
        <v>25</v>
      </c>
      <c r="K52" s="14"/>
    </row>
    <row r="53" ht="86.25">
      <c r="A53" s="15"/>
      <c r="B53" s="30"/>
      <c r="C53" s="21" t="s">
        <v>46</v>
      </c>
      <c r="D53" s="27" t="s">
        <v>47</v>
      </c>
      <c r="E53" s="43"/>
      <c r="F53" s="24">
        <v>0</v>
      </c>
      <c r="G53" s="33"/>
      <c r="H53" s="32">
        <v>0</v>
      </c>
      <c r="I53" s="32">
        <v>0</v>
      </c>
      <c r="J53" s="32">
        <v>0</v>
      </c>
      <c r="K53" s="14"/>
    </row>
    <row r="54" ht="51.75">
      <c r="A54" s="15">
        <v>11</v>
      </c>
      <c r="B54" s="30" t="s">
        <v>30</v>
      </c>
      <c r="C54" s="41" t="s">
        <v>48</v>
      </c>
      <c r="D54" s="15"/>
      <c r="E54" s="18">
        <f>65883573.76</f>
        <v>65883573.759999998</v>
      </c>
      <c r="F54" s="19" t="s">
        <v>18</v>
      </c>
      <c r="G54" s="19" t="s">
        <v>18</v>
      </c>
      <c r="H54" s="19" t="s">
        <v>18</v>
      </c>
      <c r="I54" s="19" t="s">
        <v>18</v>
      </c>
      <c r="J54" s="19" t="s">
        <v>18</v>
      </c>
      <c r="K54" s="42">
        <f>E55*H55+E56*H56+E57*H57+E58*H58</f>
        <v>65883573.75999999</v>
      </c>
    </row>
    <row r="55" ht="69">
      <c r="A55" s="15"/>
      <c r="B55" s="30"/>
      <c r="C55" s="21" t="s">
        <v>32</v>
      </c>
      <c r="D55" s="27" t="s">
        <v>33</v>
      </c>
      <c r="E55" s="23">
        <f>K55</f>
        <v>141685.10486021504</v>
      </c>
      <c r="F55" s="33">
        <f t="shared" ref="F55:F58" si="26">(48782885.14)/465</f>
        <v>104909.43040860216</v>
      </c>
      <c r="G55" s="25">
        <f t="shared" ref="G55:G58" si="27">(7503401.65)/465</f>
        <v>16136.347634408603</v>
      </c>
      <c r="H55" s="19">
        <v>175</v>
      </c>
      <c r="I55" s="19">
        <f t="shared" si="18"/>
        <v>175</v>
      </c>
      <c r="J55" s="19">
        <f t="shared" si="19"/>
        <v>175</v>
      </c>
      <c r="K55" s="26">
        <f>E54/(H55+H56+H57+H58)</f>
        <v>141685.10486021504</v>
      </c>
    </row>
    <row r="56" ht="69">
      <c r="A56" s="15"/>
      <c r="B56" s="30"/>
      <c r="C56" s="21" t="s">
        <v>34</v>
      </c>
      <c r="D56" s="27" t="s">
        <v>35</v>
      </c>
      <c r="E56" s="23">
        <f>K55</f>
        <v>141685.10486021504</v>
      </c>
      <c r="F56" s="33">
        <f t="shared" si="26"/>
        <v>104909.43040860216</v>
      </c>
      <c r="G56" s="25">
        <f t="shared" si="27"/>
        <v>16136.347634408603</v>
      </c>
      <c r="H56" s="19">
        <v>276</v>
      </c>
      <c r="I56" s="19">
        <f t="shared" si="18"/>
        <v>276</v>
      </c>
      <c r="J56" s="19">
        <f t="shared" si="19"/>
        <v>276</v>
      </c>
      <c r="K56" s="14"/>
    </row>
    <row r="57" ht="86.25">
      <c r="A57" s="15"/>
      <c r="B57" s="30"/>
      <c r="C57" s="21" t="s">
        <v>39</v>
      </c>
      <c r="D57" s="27" t="s">
        <v>40</v>
      </c>
      <c r="E57" s="23">
        <f>K55</f>
        <v>141685.10486021504</v>
      </c>
      <c r="F57" s="33">
        <f t="shared" si="26"/>
        <v>104909.43040860216</v>
      </c>
      <c r="G57" s="25">
        <f t="shared" si="27"/>
        <v>16136.347634408603</v>
      </c>
      <c r="H57" s="19">
        <v>0</v>
      </c>
      <c r="I57" s="19">
        <v>0</v>
      </c>
      <c r="J57" s="19">
        <v>0</v>
      </c>
      <c r="K57" s="14"/>
    </row>
    <row r="58" ht="69">
      <c r="A58" s="15"/>
      <c r="B58" s="30"/>
      <c r="C58" s="21" t="s">
        <v>45</v>
      </c>
      <c r="D58" s="27" t="s">
        <v>37</v>
      </c>
      <c r="E58" s="23">
        <f>K55</f>
        <v>141685.10486021504</v>
      </c>
      <c r="F58" s="33">
        <f t="shared" si="26"/>
        <v>104909.43040860216</v>
      </c>
      <c r="G58" s="25">
        <f t="shared" si="27"/>
        <v>16136.347634408603</v>
      </c>
      <c r="H58" s="19">
        <v>14</v>
      </c>
      <c r="I58" s="19">
        <f t="shared" si="18"/>
        <v>14</v>
      </c>
      <c r="J58" s="19">
        <f t="shared" si="19"/>
        <v>14</v>
      </c>
      <c r="K58" s="14"/>
    </row>
    <row r="59" ht="86.25">
      <c r="A59" s="15"/>
      <c r="B59" s="30"/>
      <c r="C59" s="21" t="s">
        <v>46</v>
      </c>
      <c r="D59" s="27" t="s">
        <v>47</v>
      </c>
      <c r="E59" s="23">
        <v>0</v>
      </c>
      <c r="F59" s="24">
        <v>0</v>
      </c>
      <c r="G59" s="33">
        <v>0</v>
      </c>
      <c r="H59" s="32">
        <v>0</v>
      </c>
      <c r="I59" s="32">
        <v>0</v>
      </c>
      <c r="J59" s="32">
        <v>0</v>
      </c>
      <c r="K59" s="14"/>
    </row>
    <row r="60" ht="51.75">
      <c r="A60" s="15">
        <v>12</v>
      </c>
      <c r="B60" s="30" t="s">
        <v>30</v>
      </c>
      <c r="C60" s="41" t="s">
        <v>49</v>
      </c>
      <c r="D60" s="15"/>
      <c r="E60" s="18">
        <f>15738764.77</f>
        <v>15738764.77</v>
      </c>
      <c r="F60" s="19" t="s">
        <v>18</v>
      </c>
      <c r="G60" s="19" t="s">
        <v>18</v>
      </c>
      <c r="H60" s="19" t="s">
        <v>18</v>
      </c>
      <c r="I60" s="19" t="s">
        <v>18</v>
      </c>
      <c r="J60" s="19" t="s">
        <v>18</v>
      </c>
      <c r="K60" s="42"/>
    </row>
    <row r="61" ht="69">
      <c r="A61" s="15"/>
      <c r="B61" s="30"/>
      <c r="C61" s="21" t="s">
        <v>32</v>
      </c>
      <c r="D61" s="27" t="s">
        <v>33</v>
      </c>
      <c r="E61" s="23">
        <f>K61</f>
        <v>238466.13287878787</v>
      </c>
      <c r="F61" s="24">
        <f t="shared" ref="F61:F62" si="28">(9477860.83)/66</f>
        <v>143603.95196969697</v>
      </c>
      <c r="G61" s="25">
        <f t="shared" ref="G61:G62" si="29">(2446301.75)/66</f>
        <v>37065.178030303032</v>
      </c>
      <c r="H61" s="19">
        <v>29</v>
      </c>
      <c r="I61" s="19">
        <f t="shared" si="18"/>
        <v>29</v>
      </c>
      <c r="J61" s="19">
        <f t="shared" si="19"/>
        <v>29</v>
      </c>
      <c r="K61" s="26">
        <f>E60/(H61+H62)</f>
        <v>238466.13287878787</v>
      </c>
    </row>
    <row r="62" ht="69">
      <c r="A62" s="15"/>
      <c r="B62" s="30"/>
      <c r="C62" s="21" t="s">
        <v>34</v>
      </c>
      <c r="D62" s="27" t="s">
        <v>35</v>
      </c>
      <c r="E62" s="23">
        <f>K61</f>
        <v>238466.13287878787</v>
      </c>
      <c r="F62" s="24">
        <f t="shared" si="28"/>
        <v>143603.95196969697</v>
      </c>
      <c r="G62" s="25">
        <f t="shared" si="29"/>
        <v>37065.178030303032</v>
      </c>
      <c r="H62" s="19">
        <v>37</v>
      </c>
      <c r="I62" s="19">
        <f t="shared" si="18"/>
        <v>37</v>
      </c>
      <c r="J62" s="19">
        <f t="shared" si="19"/>
        <v>37</v>
      </c>
      <c r="K62" s="14"/>
    </row>
    <row r="63" ht="17.25">
      <c r="A63" s="15"/>
      <c r="B63" s="30"/>
      <c r="C63" s="44"/>
      <c r="D63" s="44"/>
      <c r="E63" s="28"/>
      <c r="F63" s="24"/>
      <c r="G63" s="24"/>
      <c r="H63" s="32"/>
      <c r="I63" s="32"/>
      <c r="J63" s="32"/>
      <c r="K63" s="14"/>
    </row>
    <row r="64" ht="17.25">
      <c r="A64" s="15"/>
      <c r="B64" s="30" t="s">
        <v>30</v>
      </c>
      <c r="C64" s="45" t="s">
        <v>50</v>
      </c>
      <c r="D64" s="45"/>
      <c r="E64" s="37">
        <f>E31+E35+E40+E48+E54+E60</f>
        <v>463174120.51999998</v>
      </c>
      <c r="F64" s="24"/>
      <c r="G64" s="24"/>
      <c r="H64" s="32"/>
      <c r="I64" s="32"/>
      <c r="J64" s="32"/>
      <c r="K64" s="46"/>
    </row>
    <row r="65" ht="18.75">
      <c r="A65" s="15"/>
      <c r="B65" s="30"/>
      <c r="C65" s="30"/>
      <c r="D65" s="47"/>
      <c r="E65" s="37"/>
      <c r="F65" s="47"/>
      <c r="G65" s="47"/>
      <c r="H65" s="32"/>
      <c r="I65" s="32"/>
      <c r="J65" s="32"/>
      <c r="K65" s="42"/>
    </row>
    <row r="66" ht="75">
      <c r="A66" s="15">
        <v>13</v>
      </c>
      <c r="B66" s="30" t="s">
        <v>51</v>
      </c>
      <c r="C66" s="41" t="s">
        <v>52</v>
      </c>
      <c r="D66" s="15"/>
      <c r="E66" s="18">
        <f>26032797.91</f>
        <v>26032797.91</v>
      </c>
      <c r="F66" s="19" t="s">
        <v>18</v>
      </c>
      <c r="G66" s="19" t="s">
        <v>18</v>
      </c>
      <c r="H66" s="19" t="s">
        <v>18</v>
      </c>
      <c r="I66" s="19" t="s">
        <v>18</v>
      </c>
      <c r="J66" s="19" t="s">
        <v>18</v>
      </c>
      <c r="K66" s="42"/>
    </row>
    <row r="67" ht="75">
      <c r="A67" s="15"/>
      <c r="B67" s="30"/>
      <c r="C67" s="21" t="s">
        <v>53</v>
      </c>
      <c r="D67" s="27" t="s">
        <v>54</v>
      </c>
      <c r="E67" s="23">
        <v>59845.512439999999</v>
      </c>
      <c r="F67" s="33">
        <f>(23832530.93)/435</f>
        <v>54787.427425287358</v>
      </c>
      <c r="G67" s="33">
        <f>(2145266.98)/435</f>
        <v>4931.6482298850578</v>
      </c>
      <c r="H67" s="19">
        <v>435</v>
      </c>
      <c r="I67" s="19">
        <f t="shared" si="18"/>
        <v>435</v>
      </c>
      <c r="J67" s="19">
        <f t="shared" si="19"/>
        <v>435</v>
      </c>
      <c r="K67" s="48"/>
    </row>
    <row r="68" ht="18.75">
      <c r="A68" s="15"/>
      <c r="B68" s="30" t="s">
        <v>51</v>
      </c>
      <c r="C68" s="49" t="s">
        <v>55</v>
      </c>
      <c r="D68" s="49"/>
      <c r="E68" s="50"/>
      <c r="F68" s="51"/>
      <c r="G68" s="51"/>
      <c r="H68" s="32"/>
      <c r="I68" s="32"/>
      <c r="J68" s="32"/>
      <c r="K68" s="14"/>
    </row>
    <row r="69" ht="18.75">
      <c r="A69" s="52" t="s">
        <v>56</v>
      </c>
      <c r="B69" s="52"/>
      <c r="C69" s="52"/>
      <c r="D69" s="52"/>
      <c r="E69" s="52"/>
      <c r="F69" s="15" t="s">
        <v>18</v>
      </c>
      <c r="G69" s="15" t="s">
        <v>18</v>
      </c>
      <c r="H69" s="15" t="s">
        <v>18</v>
      </c>
      <c r="I69" s="15" t="s">
        <v>18</v>
      </c>
      <c r="J69" s="15" t="s">
        <v>18</v>
      </c>
      <c r="K69" s="14"/>
    </row>
    <row r="70" ht="37.5">
      <c r="A70" s="15">
        <v>14</v>
      </c>
      <c r="B70" s="30" t="s">
        <v>57</v>
      </c>
      <c r="C70" s="53" t="s">
        <v>58</v>
      </c>
      <c r="D70" s="27"/>
      <c r="E70" s="54">
        <f>21294280.77-900122.9</f>
        <v>20394157.870000001</v>
      </c>
      <c r="F70" s="33"/>
      <c r="G70" s="33"/>
      <c r="H70" s="19"/>
      <c r="I70" s="19"/>
      <c r="J70" s="19"/>
      <c r="K70" s="55">
        <f>(E71*H71)+(E72*H72)</f>
        <v>20394157.870000001</v>
      </c>
    </row>
    <row r="71" ht="75">
      <c r="A71" s="15"/>
      <c r="B71" s="30" t="s">
        <v>57</v>
      </c>
      <c r="C71" s="21" t="s">
        <v>59</v>
      </c>
      <c r="D71" s="27" t="s">
        <v>60</v>
      </c>
      <c r="E71" s="23">
        <f>K71</f>
        <v>351623.41155172413</v>
      </c>
      <c r="F71" s="33">
        <f t="shared" ref="F71:F72" si="30">(12048669.28)/58</f>
        <v>207735.67724137931</v>
      </c>
      <c r="G71" s="33">
        <f t="shared" ref="G71:G72" si="31">(7640061.49)/58</f>
        <v>131725.19810344829</v>
      </c>
      <c r="H71" s="19">
        <v>27</v>
      </c>
      <c r="I71" s="19">
        <f t="shared" si="18"/>
        <v>27</v>
      </c>
      <c r="J71" s="19">
        <f t="shared" si="19"/>
        <v>27</v>
      </c>
      <c r="K71" s="31">
        <f>E70/(H71+H72)</f>
        <v>351623.41155172413</v>
      </c>
    </row>
    <row r="72" ht="75">
      <c r="A72" s="15"/>
      <c r="B72" s="30" t="s">
        <v>57</v>
      </c>
      <c r="C72" s="21" t="s">
        <v>59</v>
      </c>
      <c r="D72" s="27" t="s">
        <v>61</v>
      </c>
      <c r="E72" s="23">
        <f>K71</f>
        <v>351623.41155172413</v>
      </c>
      <c r="F72" s="33">
        <f t="shared" si="30"/>
        <v>207735.67724137931</v>
      </c>
      <c r="G72" s="33">
        <f t="shared" si="31"/>
        <v>131725.19810344829</v>
      </c>
      <c r="H72" s="19">
        <v>31</v>
      </c>
      <c r="I72" s="19">
        <f t="shared" si="18"/>
        <v>31</v>
      </c>
      <c r="J72" s="19">
        <f t="shared" si="19"/>
        <v>31</v>
      </c>
      <c r="K72" s="48"/>
    </row>
    <row r="73" ht="14.25"/>
  </sheetData>
  <mergeCells count="16">
    <mergeCell ref="G1:J1"/>
    <mergeCell ref="G2:J2"/>
    <mergeCell ref="B3:G3"/>
    <mergeCell ref="A5:J5"/>
    <mergeCell ref="A7:A8"/>
    <mergeCell ref="B7:B8"/>
    <mergeCell ref="C7:C8"/>
    <mergeCell ref="D7:D8"/>
    <mergeCell ref="E7:E8"/>
    <mergeCell ref="F7:G7"/>
    <mergeCell ref="H7:J7"/>
    <mergeCell ref="C30:D30"/>
    <mergeCell ref="C63:D63"/>
    <mergeCell ref="C64:D64"/>
    <mergeCell ref="C68:D68"/>
    <mergeCell ref="A69:E69"/>
  </mergeCells>
  <hyperlinks>
    <hyperlink location="Par866" ref="C13"/>
    <hyperlink location="Par866" ref="C16"/>
    <hyperlink location="Par866" ref="C20"/>
    <hyperlink location="Par866" ref="C24"/>
    <hyperlink location="Par866" ref="C28"/>
  </hyperlinks>
  <printOptions headings="0" gridLines="0"/>
  <pageMargins left="0.59055118110236249" right="0.59055118110236249" top="1.181102362204725" bottom="0.59055118110236249" header="0.31496062992125984" footer="0.31496062992125984"/>
  <pageSetup paperSize="9" scale="61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11</cp:revision>
  <dcterms:created xsi:type="dcterms:W3CDTF">2015-06-05T18:19:34Z</dcterms:created>
  <dcterms:modified xsi:type="dcterms:W3CDTF">2026-08-11T04:07:46Z</dcterms:modified>
</cp:coreProperties>
</file>